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XbarR Chart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'XbarR Chart'!$A$1:$R$57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O14" i="4" l="1"/>
  <c r="P14" i="4"/>
  <c r="V14" i="4"/>
  <c r="AD14" i="4"/>
  <c r="AH14" i="4"/>
  <c r="AJ14" i="4"/>
  <c r="AW14" i="4"/>
  <c r="AX14" i="4"/>
  <c r="AY14" i="4"/>
  <c r="BL14" i="4"/>
  <c r="BA14" i="4" s="1"/>
  <c r="BD16" i="4" s="1"/>
  <c r="O15" i="4"/>
  <c r="P15" i="4"/>
  <c r="U15" i="4"/>
  <c r="Q15" i="4" s="1"/>
  <c r="V15" i="4"/>
  <c r="Y15" i="4"/>
  <c r="AC15" i="4"/>
  <c r="AD15" i="4"/>
  <c r="AG15" i="4"/>
  <c r="AH15" i="4"/>
  <c r="AJ15" i="4"/>
  <c r="AW15" i="4"/>
  <c r="AX15" i="4"/>
  <c r="AY15" i="4"/>
  <c r="BA15" i="4"/>
  <c r="BE15" i="4"/>
  <c r="BH15" i="4" s="1"/>
  <c r="AT15" i="4" s="1"/>
  <c r="BI15" i="4"/>
  <c r="BL15" i="4"/>
  <c r="AR15" i="4" s="1"/>
  <c r="O16" i="4"/>
  <c r="P16" i="4"/>
  <c r="V16" i="4"/>
  <c r="Z16" i="4"/>
  <c r="AD16" i="4"/>
  <c r="AH16" i="4"/>
  <c r="AJ16" i="4"/>
  <c r="AW16" i="4"/>
  <c r="AX16" i="4"/>
  <c r="AY16" i="4"/>
  <c r="BL16" i="4"/>
  <c r="BA16" i="4" s="1"/>
  <c r="O17" i="4"/>
  <c r="P17" i="4"/>
  <c r="Q17" i="4"/>
  <c r="U17" i="4"/>
  <c r="V17" i="4"/>
  <c r="R17" i="4" s="1"/>
  <c r="Y17" i="4"/>
  <c r="AC17" i="4"/>
  <c r="AD17" i="4"/>
  <c r="AG17" i="4"/>
  <c r="AH17" i="4"/>
  <c r="AJ17" i="4"/>
  <c r="AW17" i="4"/>
  <c r="AX17" i="4"/>
  <c r="AY17" i="4"/>
  <c r="BA17" i="4"/>
  <c r="BE17" i="4"/>
  <c r="BH17" i="4" s="1"/>
  <c r="AT17" i="4" s="1"/>
  <c r="BI17" i="4"/>
  <c r="BL17" i="4"/>
  <c r="AR17" i="4" s="1"/>
  <c r="O18" i="4"/>
  <c r="P18" i="4"/>
  <c r="V18" i="4"/>
  <c r="Z18" i="4" s="1"/>
  <c r="AH18" i="4"/>
  <c r="AJ18" i="4"/>
  <c r="AW18" i="4"/>
  <c r="AX18" i="4"/>
  <c r="AY18" i="4"/>
  <c r="BD18" i="4"/>
  <c r="O19" i="4"/>
  <c r="P19" i="4"/>
  <c r="U19" i="4"/>
  <c r="R19" i="4" s="1"/>
  <c r="V19" i="4"/>
  <c r="Y19" i="4"/>
  <c r="Z19" i="4"/>
  <c r="AC19" i="4"/>
  <c r="AD19" i="4"/>
  <c r="AG19" i="4"/>
  <c r="AH19" i="4"/>
  <c r="AJ19" i="4"/>
  <c r="AW19" i="4"/>
  <c r="AX19" i="4"/>
  <c r="AY19" i="4"/>
  <c r="BA19" i="4"/>
  <c r="BE19" i="4"/>
  <c r="BH19" i="4" s="1"/>
  <c r="AT19" i="4" s="1"/>
  <c r="BI19" i="4"/>
  <c r="BL19" i="4"/>
  <c r="AR19" i="4" s="1"/>
  <c r="O20" i="4"/>
  <c r="P20" i="4"/>
  <c r="V20" i="4"/>
  <c r="Z20" i="4" s="1"/>
  <c r="AH20" i="4"/>
  <c r="AJ20" i="4"/>
  <c r="AW20" i="4"/>
  <c r="AX20" i="4"/>
  <c r="AY20" i="4"/>
  <c r="BD20" i="4"/>
  <c r="O21" i="4"/>
  <c r="P21" i="4"/>
  <c r="U21" i="4"/>
  <c r="Q21" i="4" s="1"/>
  <c r="V21" i="4"/>
  <c r="Y21" i="4"/>
  <c r="AC21" i="4"/>
  <c r="AD21" i="4"/>
  <c r="AG21" i="4"/>
  <c r="AH21" i="4"/>
  <c r="AJ21" i="4"/>
  <c r="AW21" i="4"/>
  <c r="AX21" i="4"/>
  <c r="AY21" i="4"/>
  <c r="BE21" i="4"/>
  <c r="BH21" i="4" s="1"/>
  <c r="AT21" i="4" s="1"/>
  <c r="BI21" i="4"/>
  <c r="O22" i="4"/>
  <c r="P22" i="4"/>
  <c r="V22" i="4"/>
  <c r="AA22" i="4"/>
  <c r="AE22" i="4"/>
  <c r="AH22" i="4"/>
  <c r="AJ22" i="4"/>
  <c r="AW22" i="4"/>
  <c r="AX22" i="4"/>
  <c r="AY22" i="4"/>
  <c r="BD22" i="4"/>
  <c r="BL22" i="4"/>
  <c r="BA22" i="4" s="1"/>
  <c r="O23" i="4"/>
  <c r="P23" i="4"/>
  <c r="Q23" i="4"/>
  <c r="S23" i="4"/>
  <c r="U23" i="4"/>
  <c r="V23" i="4"/>
  <c r="R23" i="4" s="1"/>
  <c r="W23" i="4"/>
  <c r="Y23" i="4"/>
  <c r="Z23" i="4"/>
  <c r="AA23" i="4"/>
  <c r="AC23" i="4"/>
  <c r="AD23" i="4"/>
  <c r="AE23" i="4"/>
  <c r="AG23" i="4"/>
  <c r="AH23" i="4"/>
  <c r="AJ23" i="4"/>
  <c r="AN23" i="4"/>
  <c r="AR23" i="4"/>
  <c r="AT23" i="4"/>
  <c r="AW23" i="4"/>
  <c r="AX23" i="4"/>
  <c r="AY23" i="4"/>
  <c r="BB23" i="4"/>
  <c r="BE23" i="4"/>
  <c r="BF23" i="4"/>
  <c r="BK23" i="4" s="1"/>
  <c r="AZ23" i="4" s="1"/>
  <c r="BG23" i="4"/>
  <c r="BH23" i="4"/>
  <c r="BJ23" i="4"/>
  <c r="AM23" i="4" s="1"/>
  <c r="BL23" i="4"/>
  <c r="BA23" i="4" s="1"/>
  <c r="BM23" i="4"/>
  <c r="AS23" i="4" s="1"/>
  <c r="O24" i="4"/>
  <c r="BH24" i="4" s="1"/>
  <c r="AT24" i="4" s="1"/>
  <c r="P24" i="4"/>
  <c r="U24" i="4"/>
  <c r="Q24" i="4" s="1"/>
  <c r="V24" i="4"/>
  <c r="R24" i="4" s="1"/>
  <c r="S24" i="4" s="1"/>
  <c r="W24" i="4"/>
  <c r="Y24" i="4"/>
  <c r="Z24" i="4"/>
  <c r="AA24" i="4"/>
  <c r="AC24" i="4"/>
  <c r="AD24" i="4"/>
  <c r="AE24" i="4"/>
  <c r="AG24" i="4"/>
  <c r="AH24" i="4"/>
  <c r="AJ24" i="4"/>
  <c r="AN24" i="4"/>
  <c r="AW24" i="4"/>
  <c r="AX24" i="4"/>
  <c r="AY24" i="4"/>
  <c r="BB24" i="4"/>
  <c r="BE24" i="4"/>
  <c r="BF24" i="4"/>
  <c r="BK24" i="4" s="1"/>
  <c r="AQ24" i="4" s="1"/>
  <c r="BG24" i="4"/>
  <c r="BJ24" i="4"/>
  <c r="AM24" i="4" s="1"/>
  <c r="BL24" i="4"/>
  <c r="BA24" i="4" s="1"/>
  <c r="BM24" i="4"/>
  <c r="AS24" i="4" s="1"/>
  <c r="O25" i="4"/>
  <c r="P25" i="4"/>
  <c r="Q25" i="4"/>
  <c r="S25" i="4"/>
  <c r="U25" i="4"/>
  <c r="V25" i="4"/>
  <c r="R25" i="4" s="1"/>
  <c r="W25" i="4"/>
  <c r="Y25" i="4"/>
  <c r="Z25" i="4"/>
  <c r="AA25" i="4"/>
  <c r="AC25" i="4"/>
  <c r="AD25" i="4"/>
  <c r="AE25" i="4"/>
  <c r="AG25" i="4"/>
  <c r="AH25" i="4"/>
  <c r="AJ25" i="4"/>
  <c r="AN25" i="4"/>
  <c r="AT25" i="4"/>
  <c r="AW25" i="4"/>
  <c r="AX25" i="4"/>
  <c r="AY25" i="4"/>
  <c r="BB25" i="4"/>
  <c r="BE25" i="4"/>
  <c r="BF25" i="4"/>
  <c r="BK25" i="4" s="1"/>
  <c r="AZ25" i="4" s="1"/>
  <c r="BG25" i="4"/>
  <c r="BH25" i="4"/>
  <c r="BI25" i="4"/>
  <c r="AU25" i="4" s="1"/>
  <c r="BJ25" i="4"/>
  <c r="AM25" i="4" s="1"/>
  <c r="BL25" i="4"/>
  <c r="BA25" i="4" s="1"/>
  <c r="BM25" i="4"/>
  <c r="AS25" i="4" s="1"/>
  <c r="O26" i="4"/>
  <c r="BI27" i="4" s="1"/>
  <c r="P26" i="4"/>
  <c r="V26" i="4"/>
  <c r="Y26" i="4"/>
  <c r="AA26" i="4"/>
  <c r="AD26" i="4"/>
  <c r="AH26" i="4"/>
  <c r="AJ26" i="4"/>
  <c r="AW26" i="4"/>
  <c r="AX26" i="4"/>
  <c r="AY26" i="4"/>
  <c r="BD26" i="4"/>
  <c r="BF26" i="4"/>
  <c r="BL26" i="4"/>
  <c r="AR26" i="4" s="1"/>
  <c r="O27" i="4"/>
  <c r="P27" i="4"/>
  <c r="U27" i="4"/>
  <c r="Q27" i="4" s="1"/>
  <c r="V27" i="4"/>
  <c r="R27" i="4" s="1"/>
  <c r="W27" i="4"/>
  <c r="X27" i="4"/>
  <c r="Y27" i="4"/>
  <c r="Z27" i="4"/>
  <c r="AA27" i="4"/>
  <c r="AB27" i="4"/>
  <c r="AC27" i="4"/>
  <c r="AD27" i="4"/>
  <c r="AE27" i="4"/>
  <c r="AF27" i="4"/>
  <c r="AG27" i="4"/>
  <c r="AH27" i="4"/>
  <c r="AJ27" i="4"/>
  <c r="AN27" i="4"/>
  <c r="AW27" i="4"/>
  <c r="AX27" i="4"/>
  <c r="AY27" i="4"/>
  <c r="BD27" i="4"/>
  <c r="BE27" i="4"/>
  <c r="BF27" i="4"/>
  <c r="BK27" i="4" s="1"/>
  <c r="BG27" i="4"/>
  <c r="BM27" i="4" s="1"/>
  <c r="BH27" i="4"/>
  <c r="AK27" i="4" s="1"/>
  <c r="BL27" i="4"/>
  <c r="AR27" i="4" s="1"/>
  <c r="O28" i="4"/>
  <c r="P28" i="4"/>
  <c r="U28" i="4"/>
  <c r="Q28" i="4" s="1"/>
  <c r="V28" i="4"/>
  <c r="R28" i="4" s="1"/>
  <c r="W28" i="4"/>
  <c r="X28" i="4"/>
  <c r="Y28" i="4"/>
  <c r="Z28" i="4"/>
  <c r="AA28" i="4"/>
  <c r="AB28" i="4"/>
  <c r="AC28" i="4"/>
  <c r="AD28" i="4"/>
  <c r="AE28" i="4"/>
  <c r="AF28" i="4"/>
  <c r="AG28" i="4"/>
  <c r="AH28" i="4"/>
  <c r="AJ28" i="4"/>
  <c r="AN28" i="4"/>
  <c r="AV28" i="4"/>
  <c r="AW28" i="4"/>
  <c r="AX28" i="4"/>
  <c r="AY28" i="4"/>
  <c r="BD28" i="4"/>
  <c r="BE28" i="4"/>
  <c r="BF28" i="4"/>
  <c r="BK28" i="4" s="1"/>
  <c r="BG28" i="4"/>
  <c r="BM28" i="4" s="1"/>
  <c r="BH28" i="4"/>
  <c r="AK28" i="4" s="1"/>
  <c r="BJ28" i="4"/>
  <c r="AM28" i="4" s="1"/>
  <c r="BL28" i="4"/>
  <c r="AR28" i="4" s="1"/>
  <c r="O29" i="4"/>
  <c r="P29" i="4"/>
  <c r="U29" i="4"/>
  <c r="Q29" i="4" s="1"/>
  <c r="V29" i="4"/>
  <c r="R29" i="4" s="1"/>
  <c r="W29" i="4"/>
  <c r="X29" i="4"/>
  <c r="Y29" i="4"/>
  <c r="Z29" i="4"/>
  <c r="AA29" i="4"/>
  <c r="AB29" i="4"/>
  <c r="AC29" i="4"/>
  <c r="AD29" i="4"/>
  <c r="AE29" i="4"/>
  <c r="AF29" i="4"/>
  <c r="AG29" i="4"/>
  <c r="AH29" i="4"/>
  <c r="AJ29" i="4"/>
  <c r="AN29" i="4"/>
  <c r="AV29" i="4"/>
  <c r="AW29" i="4"/>
  <c r="AX29" i="4"/>
  <c r="AY29" i="4"/>
  <c r="BD29" i="4"/>
  <c r="BE29" i="4"/>
  <c r="BF29" i="4"/>
  <c r="BK29" i="4" s="1"/>
  <c r="BG29" i="4"/>
  <c r="BM29" i="4" s="1"/>
  <c r="BH29" i="4"/>
  <c r="AK29" i="4" s="1"/>
  <c r="BJ29" i="4"/>
  <c r="AM29" i="4" s="1"/>
  <c r="BL29" i="4"/>
  <c r="AR29" i="4" s="1"/>
  <c r="O30" i="4"/>
  <c r="P30" i="4"/>
  <c r="U30" i="4"/>
  <c r="Q30" i="4" s="1"/>
  <c r="V30" i="4"/>
  <c r="R30" i="4" s="1"/>
  <c r="W30" i="4"/>
  <c r="X30" i="4"/>
  <c r="Y30" i="4"/>
  <c r="Z30" i="4"/>
  <c r="AA30" i="4"/>
  <c r="AB30" i="4"/>
  <c r="AC30" i="4"/>
  <c r="AD30" i="4"/>
  <c r="AE30" i="4"/>
  <c r="AF30" i="4"/>
  <c r="AG30" i="4"/>
  <c r="AH30" i="4"/>
  <c r="AJ30" i="4"/>
  <c r="AN30" i="4"/>
  <c r="AV30" i="4"/>
  <c r="AW30" i="4"/>
  <c r="AX30" i="4"/>
  <c r="AY30" i="4"/>
  <c r="BD30" i="4"/>
  <c r="BE30" i="4"/>
  <c r="BF30" i="4"/>
  <c r="BK30" i="4" s="1"/>
  <c r="BG30" i="4"/>
  <c r="BM30" i="4" s="1"/>
  <c r="BH30" i="4"/>
  <c r="AK30" i="4" s="1"/>
  <c r="BJ30" i="4"/>
  <c r="AM30" i="4" s="1"/>
  <c r="BL30" i="4"/>
  <c r="AR30" i="4" s="1"/>
  <c r="O31" i="4"/>
  <c r="P31" i="4"/>
  <c r="U31" i="4"/>
  <c r="Q31" i="4" s="1"/>
  <c r="V31" i="4"/>
  <c r="R31" i="4" s="1"/>
  <c r="W31" i="4"/>
  <c r="X31" i="4"/>
  <c r="Y31" i="4"/>
  <c r="Z31" i="4"/>
  <c r="AA31" i="4"/>
  <c r="AB31" i="4"/>
  <c r="AC31" i="4"/>
  <c r="AD31" i="4"/>
  <c r="AE31" i="4"/>
  <c r="AF31" i="4"/>
  <c r="AG31" i="4"/>
  <c r="AH31" i="4"/>
  <c r="AJ31" i="4"/>
  <c r="AN31" i="4"/>
  <c r="AV31" i="4"/>
  <c r="AW31" i="4"/>
  <c r="AX31" i="4"/>
  <c r="AY31" i="4"/>
  <c r="BD31" i="4"/>
  <c r="BE31" i="4"/>
  <c r="BF31" i="4"/>
  <c r="BK31" i="4" s="1"/>
  <c r="BG31" i="4"/>
  <c r="BM31" i="4" s="1"/>
  <c r="BH31" i="4"/>
  <c r="AK31" i="4" s="1"/>
  <c r="BJ31" i="4"/>
  <c r="AM31" i="4" s="1"/>
  <c r="BL31" i="4"/>
  <c r="BA31" i="4" s="1"/>
  <c r="O32" i="4"/>
  <c r="P32" i="4"/>
  <c r="U32" i="4"/>
  <c r="Q32" i="4" s="1"/>
  <c r="V32" i="4"/>
  <c r="R32" i="4" s="1"/>
  <c r="W32" i="4"/>
  <c r="X32" i="4"/>
  <c r="Y32" i="4"/>
  <c r="Z32" i="4"/>
  <c r="AA32" i="4"/>
  <c r="AB32" i="4"/>
  <c r="AC32" i="4"/>
  <c r="AD32" i="4"/>
  <c r="AE32" i="4"/>
  <c r="AF32" i="4"/>
  <c r="AG32" i="4"/>
  <c r="AH32" i="4"/>
  <c r="AJ32" i="4"/>
  <c r="AN32" i="4"/>
  <c r="AV32" i="4"/>
  <c r="AW32" i="4"/>
  <c r="AX32" i="4"/>
  <c r="AY32" i="4"/>
  <c r="BD32" i="4"/>
  <c r="BE32" i="4"/>
  <c r="BF32" i="4"/>
  <c r="BK32" i="4" s="1"/>
  <c r="BG32" i="4"/>
  <c r="BM32" i="4" s="1"/>
  <c r="BH32" i="4"/>
  <c r="AK32" i="4" s="1"/>
  <c r="BJ32" i="4"/>
  <c r="AM32" i="4" s="1"/>
  <c r="BL32" i="4"/>
  <c r="AR32" i="4" s="1"/>
  <c r="O33" i="4"/>
  <c r="P33" i="4"/>
  <c r="U33" i="4"/>
  <c r="Q33" i="4" s="1"/>
  <c r="V33" i="4"/>
  <c r="R33" i="4" s="1"/>
  <c r="W33" i="4"/>
  <c r="X33" i="4"/>
  <c r="Y33" i="4"/>
  <c r="Z33" i="4"/>
  <c r="AA33" i="4"/>
  <c r="AB33" i="4"/>
  <c r="AC33" i="4"/>
  <c r="AD33" i="4"/>
  <c r="AE33" i="4"/>
  <c r="AF33" i="4"/>
  <c r="AG33" i="4"/>
  <c r="AH33" i="4"/>
  <c r="AJ33" i="4"/>
  <c r="AN33" i="4"/>
  <c r="AV33" i="4"/>
  <c r="AW33" i="4"/>
  <c r="AX33" i="4"/>
  <c r="AY33" i="4"/>
  <c r="BD33" i="4"/>
  <c r="BE33" i="4"/>
  <c r="BF33" i="4"/>
  <c r="BK33" i="4" s="1"/>
  <c r="BG33" i="4"/>
  <c r="BM33" i="4" s="1"/>
  <c r="BH33" i="4"/>
  <c r="AK33" i="4" s="1"/>
  <c r="BJ33" i="4"/>
  <c r="AM33" i="4" s="1"/>
  <c r="BL33" i="4"/>
  <c r="BA33" i="4" s="1"/>
  <c r="O34" i="4"/>
  <c r="P34" i="4"/>
  <c r="G10" i="4" s="1"/>
  <c r="U34" i="4"/>
  <c r="N10" i="4" s="1"/>
  <c r="AQ32" i="4" l="1"/>
  <c r="AZ32" i="4"/>
  <c r="AS31" i="4"/>
  <c r="BB31" i="4"/>
  <c r="AS33" i="4"/>
  <c r="BB33" i="4"/>
  <c r="T31" i="4"/>
  <c r="S31" i="4"/>
  <c r="AQ30" i="4"/>
  <c r="AZ30" i="4"/>
  <c r="AS29" i="4"/>
  <c r="BB29" i="4"/>
  <c r="AQ33" i="4"/>
  <c r="AZ33" i="4"/>
  <c r="AS32" i="4"/>
  <c r="BB32" i="4"/>
  <c r="T30" i="4"/>
  <c r="S30" i="4"/>
  <c r="AQ29" i="4"/>
  <c r="AZ29" i="4"/>
  <c r="AS28" i="4"/>
  <c r="BB28" i="4"/>
  <c r="AS27" i="4"/>
  <c r="BB27" i="4"/>
  <c r="T33" i="4"/>
  <c r="S33" i="4"/>
  <c r="T29" i="4"/>
  <c r="S29" i="4"/>
  <c r="AQ28" i="4"/>
  <c r="AZ28" i="4"/>
  <c r="AQ27" i="4"/>
  <c r="AZ27" i="4"/>
  <c r="T27" i="4"/>
  <c r="S27" i="4"/>
  <c r="T32" i="4"/>
  <c r="S32" i="4"/>
  <c r="AQ31" i="4"/>
  <c r="AZ31" i="4"/>
  <c r="AS30" i="4"/>
  <c r="BB30" i="4"/>
  <c r="T28" i="4"/>
  <c r="S28" i="4"/>
  <c r="AU27" i="4"/>
  <c r="AL27" i="4"/>
  <c r="AR33" i="4"/>
  <c r="AR31" i="4"/>
  <c r="M10" i="4"/>
  <c r="J10" i="4"/>
  <c r="AT33" i="4"/>
  <c r="AT32" i="4"/>
  <c r="AT31" i="4"/>
  <c r="AT30" i="4"/>
  <c r="AT29" i="4"/>
  <c r="AT28" i="4"/>
  <c r="BJ27" i="4"/>
  <c r="AT27" i="4"/>
  <c r="BJ26" i="4"/>
  <c r="AG26" i="4"/>
  <c r="X26" i="4"/>
  <c r="AB26" i="4"/>
  <c r="AF26" i="4"/>
  <c r="AK26" i="4"/>
  <c r="Q26" i="4"/>
  <c r="W22" i="4"/>
  <c r="U22" i="4"/>
  <c r="R22" i="4" s="1"/>
  <c r="Z22" i="4"/>
  <c r="AD22" i="4"/>
  <c r="BE22" i="4"/>
  <c r="BH22" i="4" s="1"/>
  <c r="AT22" i="4" s="1"/>
  <c r="BI22" i="4"/>
  <c r="Q22" i="4"/>
  <c r="X22" i="4"/>
  <c r="AB22" i="4"/>
  <c r="AF22" i="4"/>
  <c r="AK22" i="4"/>
  <c r="BG22" i="4"/>
  <c r="BM22" i="4" s="1"/>
  <c r="BL20" i="4"/>
  <c r="BA20" i="4" s="1"/>
  <c r="AD20" i="4"/>
  <c r="AU19" i="4"/>
  <c r="AL19" i="4"/>
  <c r="BL18" i="4"/>
  <c r="BA18" i="4" s="1"/>
  <c r="AR18" i="4"/>
  <c r="AD18" i="4"/>
  <c r="AU17" i="4"/>
  <c r="AL17" i="4"/>
  <c r="BD14" i="4"/>
  <c r="X14" i="4"/>
  <c r="AB14" i="4"/>
  <c r="AF14" i="4"/>
  <c r="BG14" i="4"/>
  <c r="W14" i="4"/>
  <c r="AA14" i="4"/>
  <c r="AE14" i="4"/>
  <c r="AN14" i="4"/>
  <c r="BF14" i="4"/>
  <c r="BK14" i="4" s="1"/>
  <c r="U14" i="4"/>
  <c r="Q14" i="4" s="1"/>
  <c r="AC14" i="4"/>
  <c r="BE14" i="4"/>
  <c r="BJ14" i="4" s="1"/>
  <c r="BM14" i="4"/>
  <c r="BB14" i="4" s="1"/>
  <c r="Y14" i="4"/>
  <c r="AG14" i="4"/>
  <c r="BI14" i="4"/>
  <c r="AU14" i="4" s="1"/>
  <c r="V34" i="4"/>
  <c r="R34" i="4"/>
  <c r="BI33" i="4"/>
  <c r="BI32" i="4"/>
  <c r="BA32" i="4"/>
  <c r="BI31" i="4"/>
  <c r="BI30" i="4"/>
  <c r="BA30" i="4"/>
  <c r="BI29" i="4"/>
  <c r="BA29" i="4"/>
  <c r="BI28" i="4"/>
  <c r="BA28" i="4"/>
  <c r="BA27" i="4"/>
  <c r="BI26" i="4"/>
  <c r="AU26" i="4" s="1"/>
  <c r="BE26" i="4"/>
  <c r="BH26" i="4" s="1"/>
  <c r="AT26" i="4" s="1"/>
  <c r="BA26" i="4"/>
  <c r="AL26" i="4"/>
  <c r="AE26" i="4"/>
  <c r="Z26" i="4"/>
  <c r="U26" i="4"/>
  <c r="AV25" i="4"/>
  <c r="AL25" i="4"/>
  <c r="BD24" i="4"/>
  <c r="AR24" i="4"/>
  <c r="AV23" i="4"/>
  <c r="BI23" i="4"/>
  <c r="BI24" i="4"/>
  <c r="BF22" i="4"/>
  <c r="BK22" i="4" s="1"/>
  <c r="AC22" i="4"/>
  <c r="AU21" i="4"/>
  <c r="AL21" i="4"/>
  <c r="Q19" i="4"/>
  <c r="X16" i="4"/>
  <c r="AB16" i="4"/>
  <c r="AF16" i="4"/>
  <c r="BG16" i="4"/>
  <c r="W16" i="4"/>
  <c r="AA16" i="4"/>
  <c r="AE16" i="4"/>
  <c r="AN16" i="4"/>
  <c r="BF16" i="4"/>
  <c r="BK16" i="4" s="1"/>
  <c r="Q16" i="4"/>
  <c r="Y16" i="4"/>
  <c r="AG16" i="4"/>
  <c r="BI16" i="4"/>
  <c r="U16" i="4"/>
  <c r="R16" i="4" s="1"/>
  <c r="T16" i="4" s="1"/>
  <c r="AC16" i="4"/>
  <c r="AS16" i="4"/>
  <c r="BE16" i="4"/>
  <c r="BH16" i="4" s="1"/>
  <c r="AT16" i="4" s="1"/>
  <c r="BM16" i="4"/>
  <c r="BB16" i="4" s="1"/>
  <c r="R14" i="4"/>
  <c r="T14" i="4" s="1"/>
  <c r="Q34" i="4"/>
  <c r="P10" i="4" s="1"/>
  <c r="AR22" i="4"/>
  <c r="X20" i="4"/>
  <c r="AB20" i="4"/>
  <c r="AF20" i="4"/>
  <c r="BG20" i="4"/>
  <c r="W20" i="4"/>
  <c r="AA20" i="4"/>
  <c r="AE20" i="4"/>
  <c r="AN20" i="4"/>
  <c r="BF20" i="4"/>
  <c r="BK20" i="4" s="1"/>
  <c r="Q20" i="4"/>
  <c r="Y20" i="4"/>
  <c r="AG20" i="4"/>
  <c r="BI20" i="4"/>
  <c r="AU20" i="4" s="1"/>
  <c r="U20" i="4"/>
  <c r="AC20" i="4"/>
  <c r="AS20" i="4"/>
  <c r="BE20" i="4"/>
  <c r="BJ20" i="4" s="1"/>
  <c r="BM20" i="4"/>
  <c r="BB20" i="4" s="1"/>
  <c r="X18" i="4"/>
  <c r="AB18" i="4"/>
  <c r="AF18" i="4"/>
  <c r="BG18" i="4"/>
  <c r="BM18" i="4" s="1"/>
  <c r="W18" i="4"/>
  <c r="AA18" i="4"/>
  <c r="AE18" i="4"/>
  <c r="AN18" i="4"/>
  <c r="BF18" i="4"/>
  <c r="BK18" i="4" s="1"/>
  <c r="U18" i="4"/>
  <c r="AC18" i="4"/>
  <c r="BE18" i="4"/>
  <c r="BH18" i="4" s="1"/>
  <c r="Q18" i="4"/>
  <c r="Y18" i="4"/>
  <c r="AG18" i="4"/>
  <c r="BI18" i="4"/>
  <c r="AU18" i="4" s="1"/>
  <c r="BC14" i="4"/>
  <c r="BC15" i="4"/>
  <c r="BC16" i="4"/>
  <c r="BC17" i="4"/>
  <c r="BC18" i="4"/>
  <c r="BC19" i="4"/>
  <c r="BC20" i="4"/>
  <c r="BC21" i="4"/>
  <c r="BD15" i="4"/>
  <c r="BD19" i="4"/>
  <c r="BD17" i="4"/>
  <c r="BD21" i="4"/>
  <c r="BC22" i="4"/>
  <c r="BC23" i="4"/>
  <c r="BC24" i="4"/>
  <c r="BC25" i="4"/>
  <c r="AR14" i="4"/>
  <c r="BC33" i="4"/>
  <c r="BC32" i="4"/>
  <c r="BC31" i="4"/>
  <c r="BC30" i="4"/>
  <c r="BC29" i="4"/>
  <c r="BC28" i="4"/>
  <c r="BC27" i="4"/>
  <c r="BK26" i="4"/>
  <c r="AZ26" i="4" s="1"/>
  <c r="BG26" i="4"/>
  <c r="BM26" i="4" s="1"/>
  <c r="BC26" i="4"/>
  <c r="AN26" i="4"/>
  <c r="AC26" i="4"/>
  <c r="W26" i="4"/>
  <c r="R26" i="4"/>
  <c r="S26" i="4" s="1"/>
  <c r="BD25" i="4"/>
  <c r="AR25" i="4"/>
  <c r="AZ24" i="4"/>
  <c r="AV24" i="4"/>
  <c r="BD23" i="4"/>
  <c r="BJ22" i="4"/>
  <c r="AV22" i="4" s="1"/>
  <c r="AN22" i="4"/>
  <c r="AG22" i="4"/>
  <c r="Y22" i="4"/>
  <c r="R21" i="4"/>
  <c r="R20" i="4"/>
  <c r="T20" i="4" s="1"/>
  <c r="R18" i="4"/>
  <c r="T18" i="4" s="1"/>
  <c r="AR16" i="4"/>
  <c r="AU15" i="4"/>
  <c r="AL15" i="4"/>
  <c r="BH14" i="4"/>
  <c r="AT14" i="4" s="1"/>
  <c r="AL14" i="4"/>
  <c r="Z14" i="4"/>
  <c r="AQ25" i="4"/>
  <c r="AK25" i="4"/>
  <c r="AF25" i="4"/>
  <c r="AB25" i="4"/>
  <c r="X25" i="4"/>
  <c r="T25" i="4"/>
  <c r="AK24" i="4"/>
  <c r="AF24" i="4"/>
  <c r="AB24" i="4"/>
  <c r="X24" i="4"/>
  <c r="T24" i="4"/>
  <c r="AQ23" i="4"/>
  <c r="AK23" i="4"/>
  <c r="AF23" i="4"/>
  <c r="AB23" i="4"/>
  <c r="X23" i="4"/>
  <c r="T23" i="4"/>
  <c r="BL21" i="4"/>
  <c r="BA21" i="4" s="1"/>
  <c r="Z21" i="4"/>
  <c r="T19" i="4"/>
  <c r="X19" i="4"/>
  <c r="AB19" i="4"/>
  <c r="AF19" i="4"/>
  <c r="AK19" i="4"/>
  <c r="BG19" i="4"/>
  <c r="BM19" i="4" s="1"/>
  <c r="S19" i="4"/>
  <c r="W19" i="4"/>
  <c r="AA19" i="4"/>
  <c r="AE19" i="4"/>
  <c r="AN19" i="4"/>
  <c r="BF19" i="4"/>
  <c r="BK19" i="4" s="1"/>
  <c r="BJ19" i="4"/>
  <c r="Z17" i="4"/>
  <c r="X15" i="4"/>
  <c r="AB15" i="4"/>
  <c r="AF15" i="4"/>
  <c r="AK15" i="4"/>
  <c r="BG15" i="4"/>
  <c r="BM15" i="4" s="1"/>
  <c r="W15" i="4"/>
  <c r="AA15" i="4"/>
  <c r="AE15" i="4"/>
  <c r="AN15" i="4"/>
  <c r="BF15" i="4"/>
  <c r="BK15" i="4" s="1"/>
  <c r="BJ15" i="4"/>
  <c r="T21" i="4"/>
  <c r="X21" i="4"/>
  <c r="AB21" i="4"/>
  <c r="AF21" i="4"/>
  <c r="AK21" i="4"/>
  <c r="BG21" i="4"/>
  <c r="BM21" i="4" s="1"/>
  <c r="BK21" i="4"/>
  <c r="AZ21" i="4" s="1"/>
  <c r="S21" i="4"/>
  <c r="W21" i="4"/>
  <c r="AA21" i="4"/>
  <c r="AE21" i="4"/>
  <c r="AN21" i="4"/>
  <c r="BF21" i="4"/>
  <c r="BJ21" i="4"/>
  <c r="T17" i="4"/>
  <c r="X17" i="4"/>
  <c r="AB17" i="4"/>
  <c r="AF17" i="4"/>
  <c r="AK17" i="4"/>
  <c r="BG17" i="4"/>
  <c r="BM17" i="4" s="1"/>
  <c r="BK17" i="4"/>
  <c r="AZ17" i="4" s="1"/>
  <c r="S17" i="4"/>
  <c r="W17" i="4"/>
  <c r="AA17" i="4"/>
  <c r="AE17" i="4"/>
  <c r="AN17" i="4"/>
  <c r="BF17" i="4"/>
  <c r="BJ17" i="4"/>
  <c r="Z15" i="4"/>
  <c r="R15" i="4"/>
  <c r="T15" i="4" s="1"/>
  <c r="AZ15" i="4" l="1"/>
  <c r="AQ15" i="4"/>
  <c r="AZ19" i="4"/>
  <c r="AQ19" i="4"/>
  <c r="AT18" i="4"/>
  <c r="AK18" i="4"/>
  <c r="BB18" i="4"/>
  <c r="AS18" i="4"/>
  <c r="AV20" i="4"/>
  <c r="AM20" i="4"/>
  <c r="AZ20" i="4"/>
  <c r="AQ20" i="4"/>
  <c r="BB22" i="4"/>
  <c r="AS22" i="4"/>
  <c r="BB26" i="4"/>
  <c r="AS26" i="4"/>
  <c r="AZ16" i="4"/>
  <c r="AQ16" i="4"/>
  <c r="AZ14" i="4"/>
  <c r="AQ14" i="4"/>
  <c r="AZ18" i="4"/>
  <c r="AQ18" i="4"/>
  <c r="AZ22" i="4"/>
  <c r="AQ22" i="4"/>
  <c r="AV14" i="4"/>
  <c r="AM14" i="4"/>
  <c r="T22" i="4"/>
  <c r="S22" i="4"/>
  <c r="AV21" i="4"/>
  <c r="AM21" i="4"/>
  <c r="AQ17" i="4"/>
  <c r="BJ18" i="4"/>
  <c r="AU16" i="4"/>
  <c r="AL16" i="4"/>
  <c r="AL18" i="4"/>
  <c r="BH20" i="4"/>
  <c r="AU28" i="4"/>
  <c r="AL28" i="4"/>
  <c r="AU30" i="4"/>
  <c r="AL30" i="4"/>
  <c r="AU33" i="4"/>
  <c r="AL33" i="4"/>
  <c r="AU22" i="4"/>
  <c r="AL22" i="4"/>
  <c r="T26" i="4"/>
  <c r="AV27" i="4"/>
  <c r="AM27" i="4"/>
  <c r="AV15" i="4"/>
  <c r="AM15" i="4"/>
  <c r="BB15" i="4"/>
  <c r="AS15" i="4"/>
  <c r="AV19" i="4"/>
  <c r="AM19" i="4"/>
  <c r="BB19" i="4"/>
  <c r="AS19" i="4"/>
  <c r="AR21" i="4"/>
  <c r="BJ16" i="4"/>
  <c r="AU31" i="4"/>
  <c r="AL31" i="4"/>
  <c r="Q10" i="4"/>
  <c r="T34" i="4"/>
  <c r="R10" i="4" s="1"/>
  <c r="S34" i="4"/>
  <c r="O10" i="4" s="1"/>
  <c r="AR20" i="4"/>
  <c r="BB21" i="4"/>
  <c r="AS21" i="4"/>
  <c r="S18" i="4"/>
  <c r="AU24" i="4"/>
  <c r="AL24" i="4"/>
  <c r="AU29" i="4"/>
  <c r="AL29" i="4"/>
  <c r="BX9" i="4"/>
  <c r="BX10" i="4"/>
  <c r="F10" i="4" s="1"/>
  <c r="BX11" i="4"/>
  <c r="H10" i="4" s="1"/>
  <c r="AS14" i="4"/>
  <c r="AV26" i="4"/>
  <c r="AM26" i="4"/>
  <c r="AV17" i="4"/>
  <c r="AM17" i="4"/>
  <c r="BB17" i="4"/>
  <c r="AS17" i="4"/>
  <c r="AQ21" i="4"/>
  <c r="S15" i="4"/>
  <c r="S20" i="4"/>
  <c r="S16" i="4"/>
  <c r="AK16" i="4"/>
  <c r="AL20" i="4"/>
  <c r="AU23" i="4"/>
  <c r="AL23" i="4"/>
  <c r="AU32" i="4"/>
  <c r="AL32" i="4"/>
  <c r="S14" i="4"/>
  <c r="AK14" i="4"/>
  <c r="AM22" i="4"/>
  <c r="AQ26" i="4"/>
  <c r="AT20" i="4" l="1"/>
  <c r="AK20" i="4"/>
  <c r="AV18" i="4"/>
  <c r="AM18" i="4"/>
  <c r="I10" i="4"/>
  <c r="K10" i="4"/>
  <c r="AV16" i="4"/>
  <c r="AM16" i="4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7" authorId="0">
      <text>
        <r>
          <rPr>
            <b/>
            <u/>
            <sz val="8"/>
            <color indexed="81"/>
            <rFont val="Tahoma"/>
            <family val="2"/>
          </rPr>
          <t xml:space="preserve">Control Charts - General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sz val="8"/>
            <color indexed="81"/>
            <rFont val="Tahoma"/>
            <family val="2"/>
          </rPr>
          <t xml:space="preserve">
Used for process analysis and characterization; identify:
(a) Process Distribution (average, variance)
(b) Process Trend
</t>
        </r>
        <r>
          <rPr>
            <u/>
            <sz val="8"/>
            <color indexed="81"/>
            <rFont val="Tahoma"/>
            <family val="2"/>
          </rPr>
          <t>Characteristics:</t>
        </r>
        <r>
          <rPr>
            <sz val="8"/>
            <color indexed="81"/>
            <rFont val="Tahoma"/>
            <family val="2"/>
          </rPr>
          <t xml:space="preserve">
CL   = Center Line: average value
UCL = Upper Control Limit = three std-deviations above the CL
LCL = Lower Control Limit = three std-deviations below the CL
</t>
        </r>
        <r>
          <rPr>
            <u/>
            <sz val="8"/>
            <color indexed="81"/>
            <rFont val="Tahoma"/>
            <family val="2"/>
          </rPr>
          <t>Applications:</t>
        </r>
        <r>
          <rPr>
            <sz val="8"/>
            <color indexed="81"/>
            <rFont val="Tahoma"/>
            <family val="2"/>
          </rPr>
          <t xml:space="preserve">
a) Measure baseline process performance
b) Monitor and control process performance
c) Evaluate measurement systems
d) Compare processes/machines/operators
</t>
        </r>
        <r>
          <rPr>
            <u/>
            <sz val="8"/>
            <color indexed="81"/>
            <rFont val="Tahoma"/>
            <family val="2"/>
          </rPr>
          <t>Common Cause Variation:</t>
        </r>
        <r>
          <rPr>
            <sz val="8"/>
            <color indexed="81"/>
            <rFont val="Tahoma"/>
            <family val="2"/>
          </rPr>
          <t xml:space="preserve">
Data are randomly distributed around the center line = normal distribution = common cause variation "white noise".
</t>
        </r>
        <r>
          <rPr>
            <u/>
            <sz val="8"/>
            <color indexed="81"/>
            <rFont val="Tahoma"/>
            <family val="2"/>
          </rPr>
          <t xml:space="preserve">Special Cause Variation:
</t>
        </r>
        <r>
          <rPr>
            <sz val="8"/>
            <color indexed="81"/>
            <rFont val="Tahoma"/>
            <family val="2"/>
          </rPr>
          <t xml:space="preserve">The data-pattern is NOT RANDOM = process has shifted &amp; is unstable. Pattern:
- Point above UCL or below LCL = more than 3 std-deviations from CL
- 2/3 points on same side of CL and more than 2 std-deviations from CL
- 4/5 points on same side of CL and more than 1 std-deviation from CL
- 15 consecutive points occurring within 1 std-deviation from the CL
- 8 consecutive points more than +/-1 std-deviation from the CL 
- 14 consecutive points that alternative up and down (= oscillation)
- 6 consecutive points forming a trend up or down
</t>
        </r>
        <r>
          <rPr>
            <u/>
            <sz val="8"/>
            <color indexed="81"/>
            <rFont val="Tahoma"/>
            <family val="2"/>
          </rPr>
          <t>Rational Subgroups:</t>
        </r>
        <r>
          <rPr>
            <sz val="8"/>
            <color indexed="81"/>
            <rFont val="Tahoma"/>
            <family val="2"/>
          </rPr>
          <t xml:space="preserve">
- Important to distinguish SPECIAL-CAUSE from COMMON-CAUSE (noise)
- Sample-items within the subgroup were produced under the same conditions
- Includes only Common Cause variation within the subgroup
- Example: 2-5 consecutive serial-boxes from a filling machine</t>
        </r>
      </text>
    </comment>
    <comment ref="C7" authorId="0">
      <text>
        <r>
          <rPr>
            <b/>
            <u/>
            <sz val="8"/>
            <color indexed="81"/>
            <rFont val="Tahoma"/>
            <family val="2"/>
          </rPr>
          <t>Control Chart for Continuous Data (example: XbarR-Chart)</t>
        </r>
        <r>
          <rPr>
            <sz val="8"/>
            <color indexed="81"/>
            <rFont val="Tahoma"/>
            <family val="2"/>
          </rPr>
          <t xml:space="preserve">
Variable control charts are used for continuous/measurement data. Examples: weight, length, temperature, speed, pressure…
</t>
        </r>
        <r>
          <rPr>
            <u/>
            <sz val="8"/>
            <color indexed="81"/>
            <rFont val="Tahoma"/>
            <family val="2"/>
          </rPr>
          <t>Individual Charts:</t>
        </r>
        <r>
          <rPr>
            <sz val="8"/>
            <color indexed="81"/>
            <rFont val="Tahoma"/>
            <family val="2"/>
          </rPr>
          <t xml:space="preserve">
- When sampling subgroups is not reasonable
- Used for low-volume production or where data are generated slowly
- Example: a bank wants to determine if the customer service is consistent and stable. It records the service-time per customer - if within control limits, the process is stable and the customer is experiencing consistent service.
CL = xbar (average of individual observations)
UCL = xbar + 3 sigma
LCL = xbar - 3 sigma
</t>
        </r>
        <r>
          <rPr>
            <u/>
            <sz val="8"/>
            <color indexed="81"/>
            <rFont val="Tahoma"/>
            <family val="2"/>
          </rPr>
          <t>Moving Range Chart (MR)</t>
        </r>
        <r>
          <rPr>
            <sz val="8"/>
            <color indexed="81"/>
            <rFont val="Tahoma"/>
            <family val="2"/>
          </rPr>
          <t xml:space="preserve">
- Measures difference of successive pairs of measurement
- Used in conjunction with Individual Chart to monitor process 
- Example: customer service center performance within control?
CL = average of moving range (MRbar)
UCL = MRbar * 3.267
LCL = (none)
</t>
        </r>
        <r>
          <rPr>
            <u/>
            <sz val="8"/>
            <color indexed="81"/>
            <rFont val="Tahoma"/>
            <family val="2"/>
          </rPr>
          <t>Range Chart (R):</t>
        </r>
        <r>
          <rPr>
            <sz val="8"/>
            <color indexed="81"/>
            <rFont val="Tahoma"/>
            <family val="2"/>
          </rPr>
          <t xml:space="preserve">
- Monitors process variation stability
- Variations within sample-subgoups = R
- Use in conjunction with xbar-chart
- Example: engineer measures process-variation of drilled holes in PCB.
CL = average of subgroup ranges = Rbar
UCL = Rbar * D4-factor (table-value, dependent on sample size)
LCL = Rbar * D3-factor (table-value, dependent on sample size)
</t>
        </r>
        <r>
          <rPr>
            <u/>
            <sz val="8"/>
            <color indexed="81"/>
            <rFont val="Tahoma"/>
            <family val="2"/>
          </rPr>
          <t>Mean Chart (xbar):</t>
        </r>
        <r>
          <rPr>
            <sz val="8"/>
            <color indexed="81"/>
            <rFont val="Tahoma"/>
            <family val="2"/>
          </rPr>
          <t xml:space="preserve">
- Monitors stability of the process mean/average
- Plot averages of subgroups to display variations between subgroups
- For medium/high-volume production
- Example: engineer checks variability between subgroups (PCB-holes) 
CL = average of subgroup-averages = x-doublebar = xdbar
UCL = xdbar + Rbar * A2-factor (table-value, dependent on sample-size)
LCL = xdbar - Rbar * A2-factor (table-value, dependent on sample-size)
</t>
        </r>
        <r>
          <rPr>
            <u/>
            <sz val="8"/>
            <color indexed="81"/>
            <rFont val="Tahoma"/>
            <family val="2"/>
          </rPr>
          <t>EWMA-Chart</t>
        </r>
        <r>
          <rPr>
            <sz val="8"/>
            <color indexed="81"/>
            <rFont val="Tahoma"/>
            <family val="2"/>
          </rPr>
          <t xml:space="preserve">
Exponential weighted moving average chart = to detect small differences. </t>
        </r>
      </text>
    </comment>
    <comment ref="A8" authorId="0">
      <text>
        <r>
          <rPr>
            <sz val="8"/>
            <color indexed="81"/>
            <rFont val="Tahoma"/>
            <family val="2"/>
          </rPr>
          <t>Enter specification limits</t>
        </r>
      </text>
    </comment>
    <comment ref="F8" authorId="0">
      <text>
        <r>
          <rPr>
            <b/>
            <u/>
            <sz val="8"/>
            <color indexed="81"/>
            <rFont val="Tahoma"/>
            <family val="2"/>
          </rPr>
          <t>R Chart</t>
        </r>
        <r>
          <rPr>
            <sz val="8"/>
            <color indexed="81"/>
            <rFont val="Tahoma"/>
            <family val="2"/>
          </rPr>
          <t xml:space="preserve">
Control Chart for the range</t>
        </r>
      </text>
    </comment>
    <comment ref="I8" authorId="0">
      <text>
        <r>
          <rPr>
            <b/>
            <u/>
            <sz val="8"/>
            <color indexed="81"/>
            <rFont val="Tahoma"/>
            <family val="2"/>
          </rPr>
          <t>Xbar Chart</t>
        </r>
        <r>
          <rPr>
            <sz val="8"/>
            <color indexed="81"/>
            <rFont val="Tahoma"/>
            <family val="2"/>
          </rPr>
          <t xml:space="preserve">
Control chart for the mean</t>
        </r>
      </text>
    </comment>
    <comment ref="M8" authorId="0">
      <text>
        <r>
          <rPr>
            <b/>
            <u/>
            <sz val="8"/>
            <color indexed="81"/>
            <rFont val="Tahoma"/>
            <family val="2"/>
          </rPr>
          <t>Statistics (all data)</t>
        </r>
        <r>
          <rPr>
            <sz val="8"/>
            <color indexed="81"/>
            <rFont val="Tahoma"/>
            <family val="2"/>
          </rPr>
          <t xml:space="preserve">
- Grand average (Xdbar)
- Std Deviation (Sigma)
- Margin to Limit (Z-units)</t>
        </r>
      </text>
    </comment>
    <comment ref="P8" authorId="0">
      <text>
        <r>
          <rPr>
            <b/>
            <u/>
            <sz val="8"/>
            <color indexed="81"/>
            <rFont val="Tahoma"/>
            <family val="2"/>
          </rPr>
          <t>Process Capability</t>
        </r>
        <r>
          <rPr>
            <sz val="8"/>
            <color indexed="81"/>
            <rFont val="Tahoma"/>
            <family val="2"/>
          </rPr>
          <t xml:space="preserve">
- Capability Index (Cp)
- Capability Index (Cpk)
- Defects rate (DPMO)
</t>
        </r>
      </text>
    </comment>
    <comment ref="BP8" authorId="1">
      <text>
        <r>
          <rPr>
            <sz val="8"/>
            <color indexed="81"/>
            <rFont val="Tahoma"/>
            <family val="2"/>
          </rPr>
          <t>see SSI p.1059</t>
        </r>
      </text>
    </comment>
    <comment ref="BW8" authorId="1">
      <text>
        <r>
          <rPr>
            <sz val="8"/>
            <color indexed="81"/>
            <rFont val="Tahoma"/>
            <family val="2"/>
          </rPr>
          <t>Factors for control charts; dependent on sample-size</t>
        </r>
      </text>
    </comment>
    <comment ref="A9" authorId="1">
      <text>
        <r>
          <rPr>
            <sz val="8"/>
            <color indexed="81"/>
            <rFont val="Tahoma"/>
            <family val="2"/>
          </rPr>
          <t>Lower Specification Line</t>
        </r>
      </text>
    </comment>
    <comment ref="B9" authorId="1">
      <text>
        <r>
          <rPr>
            <sz val="8"/>
            <color indexed="81"/>
            <rFont val="Tahoma"/>
            <family val="2"/>
          </rPr>
          <t>Specification Center Line</t>
        </r>
      </text>
    </comment>
    <comment ref="C9" authorId="1">
      <text>
        <r>
          <rPr>
            <sz val="8"/>
            <color indexed="81"/>
            <rFont val="Tahoma"/>
            <family val="2"/>
          </rPr>
          <t>Upper Specification Limit</t>
        </r>
      </text>
    </comment>
    <comment ref="F9" authorId="1">
      <text>
        <r>
          <rPr>
            <sz val="8"/>
            <color indexed="81"/>
            <rFont val="Tahoma"/>
            <family val="2"/>
          </rPr>
          <t>Lower Control Limit</t>
        </r>
      </text>
    </comment>
    <comment ref="G9" authorId="1">
      <text>
        <r>
          <rPr>
            <sz val="8"/>
            <color indexed="81"/>
            <rFont val="Tahoma"/>
            <family val="2"/>
          </rPr>
          <t>Center Line</t>
        </r>
      </text>
    </comment>
    <comment ref="H9" authorId="1">
      <text>
        <r>
          <rPr>
            <sz val="8"/>
            <color indexed="81"/>
            <rFont val="Tahoma"/>
            <family val="2"/>
          </rPr>
          <t>Upper Control Limit</t>
        </r>
      </text>
    </comment>
    <comment ref="I9" authorId="1">
      <text>
        <r>
          <rPr>
            <sz val="8"/>
            <color indexed="81"/>
            <rFont val="Tahoma"/>
            <family val="2"/>
          </rPr>
          <t>Lower Control Limit</t>
        </r>
      </text>
    </comment>
    <comment ref="J9" authorId="1">
      <text>
        <r>
          <rPr>
            <sz val="8"/>
            <color indexed="81"/>
            <rFont val="Tahoma"/>
            <family val="2"/>
          </rPr>
          <t>Center Line</t>
        </r>
      </text>
    </comment>
    <comment ref="K9" authorId="1">
      <text>
        <r>
          <rPr>
            <sz val="8"/>
            <color indexed="81"/>
            <rFont val="Tahoma"/>
            <family val="2"/>
          </rPr>
          <t>Upper Control Limit</t>
        </r>
      </text>
    </comment>
    <comment ref="M9" authorId="1">
      <text>
        <r>
          <rPr>
            <b/>
            <u/>
            <sz val="8"/>
            <color indexed="81"/>
            <rFont val="Tahoma"/>
            <family val="2"/>
          </rPr>
          <t>Grand average (X_double-bar)</t>
        </r>
        <r>
          <rPr>
            <sz val="8"/>
            <color indexed="81"/>
            <rFont val="Tahoma"/>
            <family val="2"/>
          </rPr>
          <t xml:space="preserve"> 
Average of all sample means</t>
        </r>
      </text>
    </comment>
    <comment ref="N9" authorId="1">
      <text>
        <r>
          <rPr>
            <b/>
            <u/>
            <sz val="8"/>
            <color indexed="81"/>
            <rFont val="Tahoma"/>
            <family val="2"/>
          </rPr>
          <t>Estimate for Sigma (all data)</t>
        </r>
        <r>
          <rPr>
            <sz val="8"/>
            <color indexed="81"/>
            <rFont val="Tahoma"/>
            <family val="2"/>
          </rPr>
          <t xml:space="preserve">
• Sigma corrected by c4-factor for sample-size &gt;25.
• Condition is met for all data in this matrix (SSI p.1059)
1. sigma = sbar/c4
2. sbar = stdev of all data
3. c4 = (4(n-1)) / (4n-3)</t>
        </r>
      </text>
    </comment>
    <comment ref="O9" authorId="1">
      <text>
        <r>
          <rPr>
            <b/>
            <u/>
            <sz val="8"/>
            <color indexed="81"/>
            <rFont val="Tahoma"/>
            <family val="2"/>
          </rPr>
          <t>Z-Distribution</t>
        </r>
        <r>
          <rPr>
            <sz val="8"/>
            <color indexed="81"/>
            <rFont val="Tahoma"/>
            <family val="2"/>
          </rPr>
          <t xml:space="preserve">
Capability as the distance of the process average from the specification limits in standard deviation units (Z from standard normal curve).</t>
        </r>
      </text>
    </comment>
    <comment ref="P9" authorId="1">
      <text>
        <r>
          <rPr>
            <b/>
            <u/>
            <sz val="8"/>
            <color indexed="81"/>
            <rFont val="Tahoma"/>
            <family val="2"/>
          </rPr>
          <t xml:space="preserve">Process Capability Index Cp (all data) </t>
        </r>
        <r>
          <rPr>
            <sz val="8"/>
            <color indexed="81"/>
            <rFont val="Tahoma"/>
            <family val="2"/>
          </rPr>
          <t xml:space="preserve">
• Cp is the tolerance window in relation to the spread of the data.
• Data centering is not taken into account.
• Goal for Motorola's SixSigma: Cp &gt;= 2.0
Cp = (USL-LSL) / 6sigma
Cp=2 means that the specification-range is double of 6 standard deviations (or +/- 3 standard deviations) of the data.</t>
        </r>
      </text>
    </comment>
    <comment ref="Q9" authorId="1">
      <text>
        <r>
          <rPr>
            <b/>
            <u/>
            <sz val="8"/>
            <color indexed="81"/>
            <rFont val="Tahoma"/>
            <family val="2"/>
          </rPr>
          <t>Process Capability Index Cpk (all data)</t>
        </r>
        <r>
          <rPr>
            <sz val="8"/>
            <color indexed="81"/>
            <rFont val="Tahoma"/>
            <family val="2"/>
          </rPr>
          <t xml:space="preserve">
• Cpk is the tolerance window relative to the data-spread.
• Data centering is taken into account; distance from upper and lower specification limit is separately considered; the worst-case number is used.
• Goal for Motorola's SixSigma program Cpk=1.5.
1. Standard deviation units:
     Z_USL = (USL-Xdblbar) / sigma
     Z_LSL = (Xdblbar-LSL) / sigma
     Xdblbar = X-doublebar = grand mean (all data)
2. Cpk = min [Z_USL, Z-LSL] / 3</t>
        </r>
      </text>
    </comment>
    <comment ref="R9" authorId="1">
      <text>
        <r>
          <rPr>
            <b/>
            <u/>
            <sz val="8"/>
            <color indexed="81"/>
            <rFont val="Tahoma"/>
            <family val="2"/>
          </rPr>
          <t>Defects per Million Opportunities</t>
        </r>
        <r>
          <rPr>
            <sz val="8"/>
            <color indexed="81"/>
            <rFont val="Tahoma"/>
            <family val="2"/>
          </rPr>
          <t xml:space="preserve">
Area under the Standardized Normal Curve for a given Zmin. Example: determine DPMO for +/- 1 sigma process. Z = -1…+1.
1. Get area under one tail
    Lookup table: Z(a=1) = 0.1587
    or NORMDIST-function
2. Multiply results by two
    2*0.1587 =  0.3174 (area for two tails)
3. DPMO
    0.3174 * 1E6 = 317,400
4. Yield
    1-0.3174 = 0.6826 = 68.26%</t>
        </r>
      </text>
    </comment>
    <comment ref="BW9" authorId="1">
      <text>
        <r>
          <rPr>
            <sz val="8"/>
            <color indexed="81"/>
            <rFont val="Tahoma"/>
            <family val="2"/>
          </rPr>
          <t>Factor A2 for Xbar-Chart</t>
        </r>
      </text>
    </comment>
    <comment ref="BW10" authorId="1">
      <text>
        <r>
          <rPr>
            <sz val="8"/>
            <color indexed="81"/>
            <rFont val="Tahoma"/>
            <family val="2"/>
          </rPr>
          <t>Factor D3 for R-chart</t>
        </r>
      </text>
    </comment>
    <comment ref="BW11" authorId="1">
      <text>
        <r>
          <rPr>
            <sz val="8"/>
            <color indexed="81"/>
            <rFont val="Tahoma"/>
            <family val="2"/>
          </rPr>
          <t>Factor D4 for R-chart</t>
        </r>
      </text>
    </comment>
    <comment ref="Q12" authorId="1">
      <text>
        <r>
          <rPr>
            <sz val="8"/>
            <color indexed="81"/>
            <rFont val="Tahoma"/>
            <family val="2"/>
          </rPr>
          <t>Based on sample standard deviation corrected by sample size.
Values for Cp, Cpk are limited to 9.99.</t>
        </r>
      </text>
    </comment>
    <comment ref="S12" authorId="1">
      <text>
        <r>
          <rPr>
            <sz val="8"/>
            <color indexed="81"/>
            <rFont val="Tahoma"/>
            <family val="2"/>
          </rPr>
          <t>Z-distribution and defect rate</t>
        </r>
      </text>
    </comment>
    <comment ref="AF12" authorId="0">
      <text>
        <r>
          <rPr>
            <sz val="8"/>
            <color indexed="81"/>
            <rFont val="Tahoma"/>
            <family val="2"/>
          </rPr>
          <t xml:space="preserve">Relative deviation from the Specification Center Line (SCL) as fraction of the Specification Range (USL-LSL).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SCL = 5
DataPoint = 6
Delta (Data-SCL) = +1
SpecificationRange = 0…10 = 10
Proportion = +1/10 = 0.10</t>
        </r>
      </text>
    </comment>
    <comment ref="BE12" authorId="1">
      <text>
        <r>
          <rPr>
            <sz val="8"/>
            <color indexed="81"/>
            <rFont val="Tahoma"/>
            <family val="2"/>
          </rPr>
          <t>Factors for control charts; dependent on sample-size</t>
        </r>
      </text>
    </comment>
    <comment ref="O13" authorId="1">
      <text>
        <r>
          <rPr>
            <sz val="8"/>
            <color indexed="81"/>
            <rFont val="Tahoma"/>
            <family val="2"/>
          </rPr>
          <t>Sample average</t>
        </r>
      </text>
    </comment>
    <comment ref="P13" authorId="1">
      <text>
        <r>
          <rPr>
            <sz val="8"/>
            <color indexed="81"/>
            <rFont val="Tahoma"/>
            <family val="2"/>
          </rPr>
          <t>Sample range</t>
        </r>
      </text>
    </comment>
    <comment ref="Q13" authorId="1">
      <text>
        <r>
          <rPr>
            <b/>
            <u/>
            <sz val="8"/>
            <color indexed="81"/>
            <rFont val="Tahoma"/>
            <family val="2"/>
          </rPr>
          <t xml:space="preserve">Process Capability Index Cp for Sample [m]
</t>
        </r>
        <r>
          <rPr>
            <sz val="8"/>
            <color indexed="81"/>
            <rFont val="Tahoma"/>
            <family val="2"/>
          </rPr>
          <t xml:space="preserve">• Cp is tolerance window related to data-spread
• Data centering is not taken into account
• Goal for Motorola's SixSigma: </t>
        </r>
        <r>
          <rPr>
            <b/>
            <sz val="8"/>
            <color indexed="81"/>
            <rFont val="Tahoma"/>
            <family val="2"/>
          </rPr>
          <t>Cp &gt;= 2.0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Calculations:</t>
        </r>
        <r>
          <rPr>
            <sz val="8"/>
            <color indexed="81"/>
            <rFont val="Tahoma"/>
            <family val="2"/>
          </rPr>
          <t xml:space="preserve">
1. Sample standard deviation: sigma = stdev/c4
2. Table-value c4 is dependent on subgroup-size (n)
2. Process Capability Index: Cp = (USL-LSL) / 6sigma</t>
        </r>
      </text>
    </comment>
    <comment ref="R13" authorId="1">
      <text>
        <r>
          <rPr>
            <b/>
            <u/>
            <sz val="8"/>
            <color indexed="81"/>
            <rFont val="Tahoma"/>
            <family val="2"/>
          </rPr>
          <t xml:space="preserve">Process Capability Index Cpk for Sample [m]
</t>
        </r>
        <r>
          <rPr>
            <sz val="8"/>
            <color indexed="81"/>
            <rFont val="Tahoma"/>
            <family val="2"/>
          </rPr>
          <t xml:space="preserve">• </t>
        </r>
        <r>
          <rPr>
            <sz val="8"/>
            <color indexed="81"/>
            <rFont val="Tahoma"/>
            <family val="2"/>
          </rPr>
          <t xml:space="preserve">Cpk is tolerance window relative to the data-spread
• </t>
        </r>
        <r>
          <rPr>
            <u/>
            <sz val="8"/>
            <color indexed="81"/>
            <rFont val="Tahoma"/>
            <family val="2"/>
          </rPr>
          <t>Data centering is taken into account</t>
        </r>
        <r>
          <rPr>
            <sz val="8"/>
            <color indexed="81"/>
            <rFont val="Tahoma"/>
            <family val="2"/>
          </rPr>
          <t xml:space="preserve">; distance from upper and lower specification limit is separately considered; the worst-case number is used.
• Goal for Motorola's SixSigma program </t>
        </r>
        <r>
          <rPr>
            <b/>
            <sz val="8"/>
            <color indexed="81"/>
            <rFont val="Tahoma"/>
            <family val="2"/>
          </rPr>
          <t>Cpk&gt;=1.5</t>
        </r>
        <r>
          <rPr>
            <sz val="8"/>
            <color indexed="81"/>
            <rFont val="Tahoma"/>
            <family val="2"/>
          </rPr>
          <t xml:space="preserve">.
</t>
        </r>
        <r>
          <rPr>
            <u/>
            <sz val="8"/>
            <color indexed="81"/>
            <rFont val="Tahoma"/>
            <family val="2"/>
          </rPr>
          <t>Calculations:</t>
        </r>
        <r>
          <rPr>
            <sz val="8"/>
            <color indexed="81"/>
            <rFont val="Tahoma"/>
            <family val="2"/>
          </rPr>
          <t xml:space="preserve">
1. Sample standard deviation: sigma = stdev/c4
2. Table-value c4 is dependent on subgroup-size (n)
3. Standard deviation units:
     Z_USL = (USL-Xbar) / sigma
     Z_LSL = (Xbar-LSL) / sigma
     Xbar = sample average
3. Process Capability Index Cpk = min [Z_USL, Z-LSL] / 3</t>
        </r>
      </text>
    </comment>
    <comment ref="S13" authorId="1">
      <text>
        <r>
          <rPr>
            <b/>
            <u/>
            <sz val="8"/>
            <color indexed="81"/>
            <rFont val="Tahoma"/>
            <family val="2"/>
          </rPr>
          <t>Z-Distribution</t>
        </r>
        <r>
          <rPr>
            <sz val="8"/>
            <color indexed="81"/>
            <rFont val="Tahoma"/>
            <family val="2"/>
          </rPr>
          <t xml:space="preserve">
Capability represented by the distance of the process average from the specification limits in standard deviation units (Z from standard normal curve).</t>
        </r>
      </text>
    </comment>
    <comment ref="T13" authorId="1">
      <text>
        <r>
          <rPr>
            <b/>
            <u/>
            <sz val="8"/>
            <color indexed="81"/>
            <rFont val="Tahoma"/>
            <family val="2"/>
          </rPr>
          <t>Defects per Million Opportunities</t>
        </r>
        <r>
          <rPr>
            <sz val="8"/>
            <color indexed="81"/>
            <rFont val="Tahoma"/>
            <family val="2"/>
          </rPr>
          <t xml:space="preserve">
Area under the Standardized Normal Curve for a given Zmin. Example: determine DPMO for +/- 1 sigma process. Z = -1…+1.
1. Get area under one tail
    Lookup table: Z(a=1) = 0.1587
    or NORMDIST-function
2. Multiply results by two
    2*0.1587 =  0.3174 (area for two tails)
3. DPMO
    0.3174 * 1E6 = 317,400
4. Yield
    1-0.3174 = 0.6826 = 68.26%</t>
        </r>
      </text>
    </comment>
    <comment ref="U13" authorId="1">
      <text>
        <r>
          <rPr>
            <b/>
            <u/>
            <sz val="8"/>
            <color indexed="81"/>
            <rFont val="Tahoma"/>
            <family val="2"/>
          </rPr>
          <t>Estimate for Sigma (Short-Term)</t>
        </r>
        <r>
          <rPr>
            <sz val="8"/>
            <color indexed="81"/>
            <rFont val="Tahoma"/>
            <family val="2"/>
          </rPr>
          <t xml:space="preserve">
Sigma corrected by factor c4 for small sample size: sigma_hat = sbar / c4</t>
        </r>
      </text>
    </comment>
    <comment ref="V13" authorId="1">
      <text>
        <r>
          <rPr>
            <sz val="8"/>
            <color indexed="81"/>
            <rFont val="Tahoma"/>
            <family val="2"/>
          </rPr>
          <t>Sample size</t>
        </r>
      </text>
    </comment>
    <comment ref="BE13" authorId="1">
      <text>
        <r>
          <rPr>
            <sz val="8"/>
            <color indexed="81"/>
            <rFont val="Tahoma"/>
            <family val="2"/>
          </rPr>
          <t>Factor A2 for Xbar-Chart</t>
        </r>
      </text>
    </comment>
    <comment ref="BF13" authorId="1">
      <text>
        <r>
          <rPr>
            <sz val="8"/>
            <color indexed="81"/>
            <rFont val="Tahoma"/>
            <family val="2"/>
          </rPr>
          <t>Factor D3 for R-chart</t>
        </r>
      </text>
    </comment>
    <comment ref="BG13" authorId="1">
      <text>
        <r>
          <rPr>
            <sz val="8"/>
            <color indexed="81"/>
            <rFont val="Tahoma"/>
            <family val="2"/>
          </rPr>
          <t>Factor D4 for R-chart</t>
        </r>
      </text>
    </comment>
    <comment ref="BH13" authorId="1">
      <text>
        <r>
          <rPr>
            <sz val="8"/>
            <color indexed="81"/>
            <rFont val="Tahoma"/>
            <family val="2"/>
          </rPr>
          <t>Lower Control Limit</t>
        </r>
      </text>
    </comment>
    <comment ref="BI13" authorId="1">
      <text>
        <r>
          <rPr>
            <sz val="8"/>
            <color indexed="81"/>
            <rFont val="Tahoma"/>
            <family val="2"/>
          </rPr>
          <t>Center Line</t>
        </r>
      </text>
    </comment>
    <comment ref="BJ13" authorId="1">
      <text>
        <r>
          <rPr>
            <sz val="8"/>
            <color indexed="81"/>
            <rFont val="Tahoma"/>
            <family val="2"/>
          </rPr>
          <t>Upper Control Limit</t>
        </r>
      </text>
    </comment>
    <comment ref="BK13" authorId="1">
      <text>
        <r>
          <rPr>
            <sz val="8"/>
            <color indexed="81"/>
            <rFont val="Tahoma"/>
            <family val="2"/>
          </rPr>
          <t>Lower Control Limit</t>
        </r>
      </text>
    </comment>
    <comment ref="BL13" authorId="1">
      <text>
        <r>
          <rPr>
            <sz val="8"/>
            <color indexed="81"/>
            <rFont val="Tahoma"/>
            <family val="2"/>
          </rPr>
          <t>Center Line</t>
        </r>
      </text>
    </comment>
    <comment ref="BM13" authorId="1">
      <text>
        <r>
          <rPr>
            <sz val="8"/>
            <color indexed="81"/>
            <rFont val="Tahoma"/>
            <family val="2"/>
          </rPr>
          <t>Upper Control Limit</t>
        </r>
      </text>
    </comment>
    <comment ref="U34" authorId="1">
      <text>
        <r>
          <rPr>
            <b/>
            <u/>
            <sz val="8"/>
            <color indexed="81"/>
            <rFont val="Tahoma"/>
            <family val="2"/>
          </rPr>
          <t>Estimate for Sigma (all data)</t>
        </r>
        <r>
          <rPr>
            <sz val="8"/>
            <color indexed="81"/>
            <rFont val="Tahoma"/>
            <family val="2"/>
          </rPr>
          <t xml:space="preserve">
• Sigma corrected by c4-factor for sample-size &gt;25.
• Condition is met for all data in this matrix (SSI p.1059)
1. sigma = sbar/c4
2. sbar = stdev of all data
3. c4 = (4(n-1)) / (4n-3)</t>
        </r>
      </text>
    </comment>
    <comment ref="V34" authorId="1">
      <text>
        <r>
          <rPr>
            <sz val="8"/>
            <color indexed="81"/>
            <rFont val="Tahoma"/>
            <family val="2"/>
          </rPr>
          <t>Max sample size</t>
        </r>
      </text>
    </comment>
  </commentList>
</comments>
</file>

<file path=xl/sharedStrings.xml><?xml version="1.0" encoding="utf-8"?>
<sst xmlns="http://schemas.openxmlformats.org/spreadsheetml/2006/main" count="136" uniqueCount="75">
  <si>
    <t>4. Control Chart Output: Mean (xbar) &amp; Variation (R)</t>
  </si>
  <si>
    <t>Product-B</t>
  </si>
  <si>
    <t>Product-A</t>
  </si>
  <si>
    <t>UCL</t>
  </si>
  <si>
    <t>CL</t>
  </si>
  <si>
    <t>LCL</t>
  </si>
  <si>
    <t>D4</t>
  </si>
  <si>
    <t>D3</t>
  </si>
  <si>
    <t>A2</t>
  </si>
  <si>
    <t>USL</t>
  </si>
  <si>
    <t>LSL</t>
  </si>
  <si>
    <t>SCL</t>
  </si>
  <si>
    <t>R</t>
  </si>
  <si>
    <t>Xbar</t>
  </si>
  <si>
    <t>n10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</si>
  <si>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</si>
  <si>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</si>
  <si>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</si>
  <si>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</si>
  <si>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</si>
  <si>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</si>
  <si>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</si>
  <si>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</si>
  <si>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</si>
  <si>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Count</t>
  </si>
  <si>
    <t>Sigma</t>
  </si>
  <si>
    <t>DPMO</t>
  </si>
  <si>
    <t>Zmin</t>
  </si>
  <si>
    <t>Cpk</t>
  </si>
  <si>
    <t>Cp</t>
  </si>
  <si>
    <t>Range</t>
  </si>
  <si>
    <t>Description</t>
  </si>
  <si>
    <t>Date</t>
  </si>
  <si>
    <t>m</t>
  </si>
  <si>
    <t>R Chart</t>
  </si>
  <si>
    <t>Xbar Chart</t>
  </si>
  <si>
    <t>Ctrl Factors</t>
  </si>
  <si>
    <t>R-Chart</t>
  </si>
  <si>
    <t>Xbar-Chart</t>
  </si>
  <si>
    <t>Subgroups (ni)</t>
  </si>
  <si>
    <t>Statistics</t>
  </si>
  <si>
    <t>Defect Rate</t>
  </si>
  <si>
    <t>Capability</t>
  </si>
  <si>
    <t>3. Enter Sample Data:  Number (m), Date, Description, Measurements (ni)</t>
  </si>
  <si>
    <t>Control Charts - Absolute Values</t>
  </si>
  <si>
    <t>Control Chart - Absolute Values</t>
  </si>
  <si>
    <t>Control Charts - Relative Values</t>
  </si>
  <si>
    <t>Data - Relative Values</t>
  </si>
  <si>
    <t>c4</t>
  </si>
  <si>
    <t>d2</t>
  </si>
  <si>
    <t>n</t>
  </si>
  <si>
    <t>Xdbar</t>
  </si>
  <si>
    <t>Table for Control Chart Factors</t>
  </si>
  <si>
    <t>Enter Limits</t>
  </si>
  <si>
    <t>6. Results</t>
  </si>
  <si>
    <t>5. Control Limits</t>
  </si>
  <si>
    <r>
      <t xml:space="preserve">     </t>
    </r>
    <r>
      <rPr>
        <b/>
        <u/>
        <sz val="10"/>
        <rFont val="Arial"/>
        <family val="2"/>
      </rPr>
      <t>1. Start</t>
    </r>
  </si>
  <si>
    <t>Enter Name</t>
  </si>
  <si>
    <t>XbarR</t>
  </si>
  <si>
    <t>mm</t>
  </si>
  <si>
    <t>Diameter</t>
  </si>
  <si>
    <t>Screws</t>
  </si>
  <si>
    <t>Sorting</t>
  </si>
  <si>
    <t>Date:</t>
  </si>
  <si>
    <t>Owner:</t>
  </si>
  <si>
    <t>Reference:</t>
  </si>
  <si>
    <t>Unit:</t>
  </si>
  <si>
    <t>Variable:</t>
  </si>
  <si>
    <t>Item:</t>
  </si>
  <si>
    <t>Process:</t>
  </si>
  <si>
    <t>Navigating to Results</t>
  </si>
  <si>
    <t>Six Sigma for Excel</t>
  </si>
  <si>
    <t>Leanmap.com</t>
  </si>
  <si>
    <t>XbarR Chart</t>
  </si>
  <si>
    <t>Lean6™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</si>
</sst>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"/>
    <numFmt numFmtId="166" formatCode="m/d;@"/>
    <numFmt numFmtId="167" formatCode="0.E+00"/>
  </numFmts>
  <fonts count="27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color indexed="12"/>
      <name val="Arial Narrow"/>
      <family val="2"/>
    </font>
    <font>
      <sz val="10"/>
      <color indexed="8"/>
      <name val="Arial Narrow"/>
      <family val="2"/>
    </font>
    <font>
      <b/>
      <sz val="10"/>
      <name val="Arial Narrow"/>
      <family val="2"/>
    </font>
    <font>
      <sz val="10"/>
      <name val="Geneva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color indexed="20"/>
      <name val="Arial"/>
      <family val="2"/>
    </font>
    <font>
      <u/>
      <sz val="10"/>
      <name val="Arial"/>
      <family val="2"/>
    </font>
    <font>
      <sz val="9"/>
      <color indexed="12"/>
      <name val="Arial"/>
      <family val="2"/>
    </font>
    <font>
      <u/>
      <sz val="10"/>
      <color indexed="8"/>
      <name val="Arial"/>
      <family val="2"/>
    </font>
    <font>
      <u/>
      <sz val="9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10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6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" fillId="0" borderId="0"/>
    <xf numFmtId="44" fontId="1" fillId="0" borderId="0" applyFont="0" applyFill="0" applyBorder="0" applyAlignment="0" applyProtection="0"/>
  </cellStyleXfs>
  <cellXfs count="215">
    <xf numFmtId="0" fontId="0" fillId="0" borderId="0" xfId="0"/>
    <xf numFmtId="0" fontId="1" fillId="2" borderId="0" xfId="1" applyFill="1" applyBorder="1" applyProtection="1">
      <protection hidden="1"/>
    </xf>
    <xf numFmtId="164" fontId="2" fillId="2" borderId="0" xfId="1" applyNumberFormat="1" applyFont="1" applyFill="1" applyBorder="1" applyProtection="1">
      <protection hidden="1"/>
    </xf>
    <xf numFmtId="0" fontId="2" fillId="2" borderId="0" xfId="1" applyFont="1" applyFill="1" applyBorder="1" applyProtection="1">
      <protection hidden="1"/>
    </xf>
    <xf numFmtId="0" fontId="2" fillId="2" borderId="0" xfId="1" applyFont="1" applyFill="1" applyBorder="1" applyAlignment="1" applyProtection="1">
      <alignment shrinkToFit="1"/>
      <protection hidden="1"/>
    </xf>
    <xf numFmtId="2" fontId="2" fillId="2" borderId="0" xfId="1" applyNumberFormat="1" applyFont="1" applyFill="1" applyBorder="1" applyProtection="1">
      <protection hidden="1"/>
    </xf>
    <xf numFmtId="0" fontId="3" fillId="2" borderId="0" xfId="1" applyFont="1" applyFill="1" applyBorder="1" applyAlignment="1" applyProtection="1">
      <alignment shrinkToFit="1"/>
      <protection hidden="1"/>
    </xf>
    <xf numFmtId="2" fontId="2" fillId="2" borderId="1" xfId="1" applyNumberFormat="1" applyFont="1" applyFill="1" applyBorder="1" applyProtection="1">
      <protection hidden="1"/>
    </xf>
    <xf numFmtId="164" fontId="2" fillId="2" borderId="2" xfId="1" applyNumberFormat="1" applyFont="1" applyFill="1" applyBorder="1" applyProtection="1">
      <protection hidden="1"/>
    </xf>
    <xf numFmtId="0" fontId="2" fillId="2" borderId="2" xfId="1" applyFont="1" applyFill="1" applyBorder="1" applyProtection="1">
      <protection hidden="1"/>
    </xf>
    <xf numFmtId="0" fontId="2" fillId="2" borderId="2" xfId="1" applyFont="1" applyFill="1" applyBorder="1" applyAlignment="1" applyProtection="1">
      <alignment shrinkToFit="1"/>
      <protection hidden="1"/>
    </xf>
    <xf numFmtId="0" fontId="3" fillId="2" borderId="2" xfId="1" applyFont="1" applyFill="1" applyBorder="1" applyAlignment="1" applyProtection="1">
      <alignment shrinkToFit="1"/>
      <protection hidden="1"/>
    </xf>
    <xf numFmtId="0" fontId="2" fillId="2" borderId="3" xfId="1" applyFont="1" applyFill="1" applyBorder="1" applyProtection="1">
      <protection hidden="1"/>
    </xf>
    <xf numFmtId="2" fontId="2" fillId="2" borderId="4" xfId="1" applyNumberFormat="1" applyFont="1" applyFill="1" applyBorder="1" applyProtection="1">
      <protection hidden="1"/>
    </xf>
    <xf numFmtId="0" fontId="2" fillId="2" borderId="5" xfId="1" applyFont="1" applyFill="1" applyBorder="1" applyProtection="1">
      <protection hidden="1"/>
    </xf>
    <xf numFmtId="0" fontId="2" fillId="2" borderId="4" xfId="1" applyFont="1" applyFill="1" applyBorder="1" applyProtection="1">
      <protection hidden="1"/>
    </xf>
    <xf numFmtId="0" fontId="4" fillId="2" borderId="0" xfId="1" applyFont="1" applyFill="1" applyBorder="1" applyProtection="1">
      <protection hidden="1"/>
    </xf>
    <xf numFmtId="0" fontId="2" fillId="2" borderId="6" xfId="1" applyFont="1" applyFill="1" applyBorder="1" applyProtection="1">
      <protection hidden="1"/>
    </xf>
    <xf numFmtId="0" fontId="2" fillId="2" borderId="7" xfId="1" applyFont="1" applyFill="1" applyBorder="1" applyProtection="1">
      <protection hidden="1"/>
    </xf>
    <xf numFmtId="0" fontId="2" fillId="2" borderId="7" xfId="1" applyFont="1" applyFill="1" applyBorder="1" applyAlignment="1" applyProtection="1">
      <alignment horizontal="right"/>
      <protection hidden="1"/>
    </xf>
    <xf numFmtId="0" fontId="5" fillId="2" borderId="7" xfId="1" applyFont="1" applyFill="1" applyBorder="1" applyAlignment="1" applyProtection="1">
      <alignment horizontal="right"/>
      <protection hidden="1"/>
    </xf>
    <xf numFmtId="0" fontId="2" fillId="2" borderId="8" xfId="1" applyFont="1" applyFill="1" applyBorder="1" applyProtection="1">
      <protection hidden="1"/>
    </xf>
    <xf numFmtId="164" fontId="2" fillId="2" borderId="0" xfId="2" applyNumberFormat="1" applyFont="1" applyFill="1" applyBorder="1" applyProtection="1">
      <protection hidden="1"/>
    </xf>
    <xf numFmtId="0" fontId="2" fillId="2" borderId="0" xfId="2" applyFont="1" applyFill="1" applyBorder="1" applyProtection="1">
      <protection hidden="1"/>
    </xf>
    <xf numFmtId="0" fontId="2" fillId="2" borderId="0" xfId="2" applyNumberFormat="1" applyFont="1" applyFill="1" applyBorder="1" applyAlignment="1" applyProtection="1">
      <protection hidden="1"/>
    </xf>
    <xf numFmtId="0" fontId="4" fillId="2" borderId="0" xfId="1" applyNumberFormat="1" applyFont="1" applyFill="1" applyBorder="1" applyAlignment="1" applyProtection="1">
      <alignment horizontal="right"/>
      <protection hidden="1"/>
    </xf>
    <xf numFmtId="0" fontId="4" fillId="2" borderId="0" xfId="3" applyNumberFormat="1" applyFont="1" applyFill="1" applyBorder="1" applyAlignment="1" applyProtection="1">
      <alignment horizontal="right"/>
      <protection hidden="1"/>
    </xf>
    <xf numFmtId="165" fontId="4" fillId="2" borderId="9" xfId="1" applyNumberFormat="1" applyFont="1" applyFill="1" applyBorder="1" applyAlignment="1" applyProtection="1">
      <protection hidden="1"/>
    </xf>
    <xf numFmtId="165" fontId="4" fillId="2" borderId="10" xfId="1" applyNumberFormat="1" applyFont="1" applyFill="1" applyBorder="1" applyProtection="1">
      <protection hidden="1"/>
    </xf>
    <xf numFmtId="3" fontId="4" fillId="2" borderId="11" xfId="4" applyNumberFormat="1" applyFont="1" applyFill="1" applyBorder="1" applyAlignment="1" applyProtection="1">
      <alignment horizontal="right" shrinkToFit="1"/>
      <protection hidden="1"/>
    </xf>
    <xf numFmtId="2" fontId="4" fillId="2" borderId="11" xfId="1" applyNumberFormat="1" applyFont="1" applyFill="1" applyBorder="1" applyAlignment="1" applyProtection="1">
      <alignment horizontal="right"/>
      <protection hidden="1"/>
    </xf>
    <xf numFmtId="2" fontId="2" fillId="2" borderId="6" xfId="1" applyNumberFormat="1" applyFont="1" applyFill="1" applyBorder="1" applyAlignment="1" applyProtection="1">
      <alignment horizontal="right"/>
      <protection hidden="1"/>
    </xf>
    <xf numFmtId="2" fontId="2" fillId="2" borderId="8" xfId="1" applyNumberFormat="1" applyFont="1" applyFill="1" applyBorder="1" applyAlignment="1" applyProtection="1">
      <alignment horizontal="right"/>
      <protection hidden="1"/>
    </xf>
    <xf numFmtId="0" fontId="2" fillId="2" borderId="8" xfId="1" applyFont="1" applyFill="1" applyBorder="1" applyAlignment="1" applyProtection="1">
      <alignment horizontal="right"/>
      <protection hidden="1"/>
    </xf>
    <xf numFmtId="164" fontId="2" fillId="2" borderId="1" xfId="1" applyNumberFormat="1" applyFont="1" applyFill="1" applyBorder="1" applyProtection="1">
      <protection hidden="1"/>
    </xf>
    <xf numFmtId="164" fontId="2" fillId="2" borderId="2" xfId="2" applyNumberFormat="1" applyFont="1" applyFill="1" applyBorder="1" applyProtection="1">
      <protection hidden="1"/>
    </xf>
    <xf numFmtId="0" fontId="2" fillId="2" borderId="3" xfId="2" applyFont="1" applyFill="1" applyBorder="1" applyProtection="1">
      <protection hidden="1"/>
    </xf>
    <xf numFmtId="0" fontId="2" fillId="2" borderId="1" xfId="2" applyNumberFormat="1" applyFont="1" applyFill="1" applyBorder="1" applyAlignment="1" applyProtection="1">
      <protection hidden="1"/>
    </xf>
    <xf numFmtId="0" fontId="2" fillId="2" borderId="2" xfId="2" applyNumberFormat="1" applyFont="1" applyFill="1" applyBorder="1" applyAlignment="1" applyProtection="1">
      <protection hidden="1"/>
    </xf>
    <xf numFmtId="0" fontId="2" fillId="2" borderId="3" xfId="2" applyNumberFormat="1" applyFont="1" applyFill="1" applyBorder="1" applyAlignment="1" applyProtection="1">
      <protection hidden="1"/>
    </xf>
    <xf numFmtId="0" fontId="2" fillId="2" borderId="1" xfId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right"/>
      <protection hidden="1"/>
    </xf>
    <xf numFmtId="0" fontId="4" fillId="2" borderId="3" xfId="1" applyNumberFormat="1" applyFont="1" applyFill="1" applyBorder="1" applyAlignment="1" applyProtection="1">
      <alignment horizontal="right"/>
      <protection hidden="1"/>
    </xf>
    <xf numFmtId="0" fontId="4" fillId="2" borderId="1" xfId="3" applyNumberFormat="1" applyFont="1" applyFill="1" applyBorder="1" applyAlignment="1" applyProtection="1">
      <alignment horizontal="right"/>
      <protection hidden="1"/>
    </xf>
    <xf numFmtId="0" fontId="4" fillId="2" borderId="2" xfId="3" applyNumberFormat="1" applyFont="1" applyFill="1" applyBorder="1" applyAlignment="1" applyProtection="1">
      <alignment horizontal="right"/>
      <protection hidden="1"/>
    </xf>
    <xf numFmtId="0" fontId="4" fillId="2" borderId="3" xfId="3" applyNumberFormat="1" applyFont="1" applyFill="1" applyBorder="1" applyAlignment="1" applyProtection="1">
      <alignment horizontal="right"/>
      <protection hidden="1"/>
    </xf>
    <xf numFmtId="3" fontId="4" fillId="2" borderId="2" xfId="4" applyNumberFormat="1" applyFont="1" applyFill="1" applyBorder="1" applyAlignment="1" applyProtection="1">
      <alignment horizontal="right" shrinkToFit="1"/>
      <protection hidden="1"/>
    </xf>
    <xf numFmtId="2" fontId="4" fillId="2" borderId="3" xfId="1" applyNumberFormat="1" applyFont="1" applyFill="1" applyBorder="1" applyAlignment="1" applyProtection="1">
      <alignment horizontal="right"/>
      <protection hidden="1"/>
    </xf>
    <xf numFmtId="2" fontId="2" fillId="2" borderId="4" xfId="1" applyNumberFormat="1" applyFont="1" applyFill="1" applyBorder="1" applyAlignment="1" applyProtection="1">
      <alignment horizontal="right"/>
      <protection hidden="1"/>
    </xf>
    <xf numFmtId="2" fontId="2" fillId="2" borderId="5" xfId="1" applyNumberFormat="1" applyFont="1" applyFill="1" applyBorder="1" applyAlignment="1" applyProtection="1">
      <alignment horizontal="right"/>
      <protection hidden="1"/>
    </xf>
    <xf numFmtId="0" fontId="2" fillId="2" borderId="0" xfId="1" applyNumberFormat="1" applyFont="1" applyFill="1" applyBorder="1" applyAlignment="1" applyProtection="1">
      <alignment horizontal="right"/>
      <protection hidden="1"/>
    </xf>
    <xf numFmtId="0" fontId="2" fillId="2" borderId="5" xfId="1" applyNumberFormat="1" applyFont="1" applyFill="1" applyBorder="1" applyAlignment="1" applyProtection="1">
      <alignment horizontal="right"/>
      <protection hidden="1"/>
    </xf>
    <xf numFmtId="0" fontId="3" fillId="2" borderId="4" xfId="1" applyNumberFormat="1" applyFont="1" applyFill="1" applyBorder="1" applyAlignment="1" applyProtection="1">
      <alignment horizontal="right" shrinkToFit="1"/>
      <protection locked="0" hidden="1"/>
    </xf>
    <xf numFmtId="0" fontId="3" fillId="2" borderId="0" xfId="1" applyNumberFormat="1" applyFont="1" applyFill="1" applyBorder="1" applyAlignment="1" applyProtection="1">
      <alignment horizontal="right" shrinkToFit="1"/>
      <protection locked="0" hidden="1"/>
    </xf>
    <xf numFmtId="0" fontId="3" fillId="2" borderId="5" xfId="1" applyNumberFormat="1" applyFont="1" applyFill="1" applyBorder="1" applyAlignment="1" applyProtection="1">
      <alignment horizontal="right" shrinkToFit="1"/>
      <protection locked="0" hidden="1"/>
    </xf>
    <xf numFmtId="166" fontId="3" fillId="2" borderId="5" xfId="1" applyNumberFormat="1" applyFont="1" applyFill="1" applyBorder="1" applyAlignment="1" applyProtection="1">
      <alignment horizontal="center" shrinkToFit="1"/>
      <protection locked="0" hidden="1"/>
    </xf>
    <xf numFmtId="0" fontId="3" fillId="2" borderId="5" xfId="1" applyFont="1" applyFill="1" applyBorder="1" applyAlignment="1" applyProtection="1">
      <alignment shrinkToFit="1"/>
      <protection locked="0" hidden="1"/>
    </xf>
    <xf numFmtId="164" fontId="2" fillId="2" borderId="4" xfId="1" applyNumberFormat="1" applyFont="1" applyFill="1" applyBorder="1" applyProtection="1">
      <protection hidden="1"/>
    </xf>
    <xf numFmtId="0" fontId="2" fillId="2" borderId="5" xfId="2" applyFont="1" applyFill="1" applyBorder="1" applyProtection="1">
      <protection hidden="1"/>
    </xf>
    <xf numFmtId="0" fontId="2" fillId="2" borderId="4" xfId="2" applyNumberFormat="1" applyFont="1" applyFill="1" applyBorder="1" applyAlignment="1" applyProtection="1">
      <protection hidden="1"/>
    </xf>
    <xf numFmtId="0" fontId="2" fillId="2" borderId="5" xfId="2" applyNumberFormat="1" applyFont="1" applyFill="1" applyBorder="1" applyAlignment="1" applyProtection="1">
      <protection hidden="1"/>
    </xf>
    <xf numFmtId="0" fontId="4" fillId="2" borderId="4" xfId="1" applyNumberFormat="1" applyFont="1" applyFill="1" applyBorder="1" applyAlignment="1" applyProtection="1">
      <alignment horizontal="right"/>
      <protection hidden="1"/>
    </xf>
    <xf numFmtId="0" fontId="4" fillId="2" borderId="5" xfId="1" applyNumberFormat="1" applyFont="1" applyFill="1" applyBorder="1" applyAlignment="1" applyProtection="1">
      <alignment horizontal="right"/>
      <protection hidden="1"/>
    </xf>
    <xf numFmtId="0" fontId="4" fillId="2" borderId="4" xfId="3" applyNumberFormat="1" applyFont="1" applyFill="1" applyBorder="1" applyAlignment="1" applyProtection="1">
      <alignment horizontal="right"/>
      <protection hidden="1"/>
    </xf>
    <xf numFmtId="0" fontId="4" fillId="2" borderId="5" xfId="3" applyNumberFormat="1" applyFont="1" applyFill="1" applyBorder="1" applyAlignment="1" applyProtection="1">
      <alignment horizontal="right"/>
      <protection hidden="1"/>
    </xf>
    <xf numFmtId="3" fontId="4" fillId="2" borderId="0" xfId="4" applyNumberFormat="1" applyFont="1" applyFill="1" applyBorder="1" applyAlignment="1" applyProtection="1">
      <alignment horizontal="right" shrinkToFit="1"/>
      <protection hidden="1"/>
    </xf>
    <xf numFmtId="2" fontId="4" fillId="2" borderId="5" xfId="1" applyNumberFormat="1" applyFont="1" applyFill="1" applyBorder="1" applyAlignment="1" applyProtection="1">
      <alignment horizontal="right"/>
      <protection hidden="1"/>
    </xf>
    <xf numFmtId="166" fontId="3" fillId="2" borderId="5" xfId="1" applyNumberFormat="1" applyFont="1" applyFill="1" applyBorder="1" applyAlignment="1" applyProtection="1">
      <alignment horizontal="left" shrinkToFit="1"/>
      <protection locked="0" hidden="1"/>
    </xf>
    <xf numFmtId="1" fontId="2" fillId="2" borderId="0" xfId="2" applyNumberFormat="1" applyFont="1" applyFill="1" applyBorder="1" applyProtection="1">
      <protection hidden="1"/>
    </xf>
    <xf numFmtId="0" fontId="4" fillId="2" borderId="6" xfId="3" applyNumberFormat="1" applyFont="1" applyFill="1" applyBorder="1" applyAlignment="1" applyProtection="1">
      <alignment horizontal="right"/>
      <protection hidden="1"/>
    </xf>
    <xf numFmtId="0" fontId="4" fillId="2" borderId="7" xfId="3" applyNumberFormat="1" applyFont="1" applyFill="1" applyBorder="1" applyAlignment="1" applyProtection="1">
      <alignment horizontal="right"/>
      <protection hidden="1"/>
    </xf>
    <xf numFmtId="0" fontId="4" fillId="2" borderId="8" xfId="3" applyNumberFormat="1" applyFont="1" applyFill="1" applyBorder="1" applyAlignment="1" applyProtection="1">
      <alignment horizontal="right"/>
      <protection hidden="1"/>
    </xf>
    <xf numFmtId="0" fontId="3" fillId="2" borderId="6" xfId="1" applyNumberFormat="1" applyFont="1" applyFill="1" applyBorder="1" applyAlignment="1" applyProtection="1">
      <alignment horizontal="right" shrinkToFit="1"/>
      <protection locked="0" hidden="1"/>
    </xf>
    <xf numFmtId="0" fontId="3" fillId="2" borderId="7" xfId="1" applyNumberFormat="1" applyFont="1" applyFill="1" applyBorder="1" applyAlignment="1" applyProtection="1">
      <alignment horizontal="right" shrinkToFit="1"/>
      <protection locked="0" hidden="1"/>
    </xf>
    <xf numFmtId="0" fontId="3" fillId="2" borderId="8" xfId="1" applyNumberFormat="1" applyFont="1" applyFill="1" applyBorder="1" applyAlignment="1" applyProtection="1">
      <alignment horizontal="right" shrinkToFit="1"/>
      <protection locked="0" hidden="1"/>
    </xf>
    <xf numFmtId="166" fontId="3" fillId="2" borderId="8" xfId="1" applyNumberFormat="1" applyFont="1" applyFill="1" applyBorder="1" applyAlignment="1" applyProtection="1">
      <alignment horizontal="left" shrinkToFit="1"/>
      <protection locked="0" hidden="1"/>
    </xf>
    <xf numFmtId="0" fontId="3" fillId="2" borderId="8" xfId="1" applyFont="1" applyFill="1" applyBorder="1" applyAlignment="1" applyProtection="1">
      <alignment shrinkToFit="1"/>
      <protection locked="0" hidden="1"/>
    </xf>
    <xf numFmtId="0" fontId="2" fillId="2" borderId="1" xfId="2" applyFont="1" applyFill="1" applyBorder="1" applyAlignment="1" applyProtection="1">
      <alignment horizontal="center"/>
      <protection hidden="1"/>
    </xf>
    <xf numFmtId="0" fontId="2" fillId="2" borderId="2" xfId="2" applyFont="1" applyFill="1" applyBorder="1" applyAlignment="1" applyProtection="1">
      <alignment horizontal="center"/>
      <protection hidden="1"/>
    </xf>
    <xf numFmtId="0" fontId="2" fillId="2" borderId="3" xfId="2" applyFont="1" applyFill="1" applyBorder="1" applyAlignment="1" applyProtection="1">
      <alignment horizontal="center"/>
      <protection hidden="1"/>
    </xf>
    <xf numFmtId="0" fontId="2" fillId="2" borderId="0" xfId="2" applyFont="1" applyFill="1" applyBorder="1" applyAlignment="1" applyProtection="1">
      <alignment horizontal="left"/>
      <protection hidden="1"/>
    </xf>
    <xf numFmtId="0" fontId="2" fillId="2" borderId="5" xfId="2" applyFont="1" applyFill="1" applyBorder="1" applyAlignment="1" applyProtection="1">
      <alignment horizontal="left"/>
      <protection hidden="1"/>
    </xf>
    <xf numFmtId="0" fontId="4" fillId="2" borderId="1" xfId="1" applyFont="1" applyFill="1" applyBorder="1" applyAlignment="1" applyProtection="1">
      <alignment horizontal="center"/>
      <protection hidden="1"/>
    </xf>
    <xf numFmtId="0" fontId="4" fillId="2" borderId="2" xfId="1" applyFont="1" applyFill="1" applyBorder="1" applyAlignment="1" applyProtection="1">
      <alignment horizontal="center"/>
      <protection hidden="1"/>
    </xf>
    <xf numFmtId="0" fontId="4" fillId="2" borderId="3" xfId="1" applyFont="1" applyFill="1" applyBorder="1" applyAlignment="1" applyProtection="1">
      <alignment horizontal="center"/>
      <protection hidden="1"/>
    </xf>
    <xf numFmtId="0" fontId="4" fillId="2" borderId="12" xfId="1" applyFont="1" applyFill="1" applyBorder="1" applyAlignment="1" applyProtection="1">
      <alignment horizontal="center"/>
      <protection hidden="1"/>
    </xf>
    <xf numFmtId="0" fontId="4" fillId="2" borderId="13" xfId="1" applyFont="1" applyFill="1" applyBorder="1" applyProtection="1">
      <protection hidden="1"/>
    </xf>
    <xf numFmtId="0" fontId="4" fillId="2" borderId="14" xfId="1" applyFont="1" applyFill="1" applyBorder="1" applyAlignment="1" applyProtection="1">
      <alignment horizontal="center"/>
      <protection hidden="1"/>
    </xf>
    <xf numFmtId="0" fontId="4" fillId="2" borderId="13" xfId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horizontal="center"/>
      <protection hidden="1"/>
    </xf>
    <xf numFmtId="0" fontId="2" fillId="2" borderId="3" xfId="1" applyFont="1" applyFill="1" applyBorder="1" applyAlignment="1" applyProtection="1">
      <alignment horizontal="center"/>
      <protection hidden="1"/>
    </xf>
    <xf numFmtId="0" fontId="2" fillId="2" borderId="2" xfId="1" applyFont="1" applyFill="1" applyBorder="1" applyAlignment="1" applyProtection="1">
      <alignment horizontal="center"/>
      <protection hidden="1"/>
    </xf>
    <xf numFmtId="0" fontId="8" fillId="2" borderId="5" xfId="1" applyFont="1" applyFill="1" applyBorder="1" applyAlignment="1" applyProtection="1">
      <alignment horizontal="left"/>
      <protection locked="0" hidden="1"/>
    </xf>
    <xf numFmtId="0" fontId="4" fillId="2" borderId="15" xfId="1" applyFont="1" applyFill="1" applyBorder="1" applyAlignment="1" applyProtection="1">
      <alignment horizontal="center"/>
      <protection hidden="1"/>
    </xf>
    <xf numFmtId="0" fontId="4" fillId="2" borderId="7" xfId="1" applyFont="1" applyFill="1" applyBorder="1" applyProtection="1">
      <protection hidden="1"/>
    </xf>
    <xf numFmtId="0" fontId="4" fillId="2" borderId="7" xfId="1" applyFont="1" applyFill="1" applyBorder="1" applyAlignment="1" applyProtection="1">
      <alignment horizontal="center"/>
      <protection hidden="1"/>
    </xf>
    <xf numFmtId="0" fontId="4" fillId="2" borderId="8" xfId="1" applyFont="1" applyFill="1" applyBorder="1" applyProtection="1">
      <protection hidden="1"/>
    </xf>
    <xf numFmtId="0" fontId="2" fillId="2" borderId="1" xfId="2" applyFont="1" applyFill="1" applyBorder="1" applyAlignment="1" applyProtection="1">
      <alignment horizontal="right"/>
      <protection hidden="1"/>
    </xf>
    <xf numFmtId="0" fontId="2" fillId="2" borderId="3" xfId="2" applyFont="1" applyFill="1" applyBorder="1" applyAlignment="1" applyProtection="1">
      <alignment horizontal="left"/>
      <protection hidden="1"/>
    </xf>
    <xf numFmtId="0" fontId="2" fillId="2" borderId="4" xfId="2" applyFont="1" applyFill="1" applyBorder="1" applyAlignment="1" applyProtection="1">
      <alignment horizontal="right"/>
      <protection hidden="1"/>
    </xf>
    <xf numFmtId="164" fontId="2" fillId="2" borderId="6" xfId="1" applyNumberFormat="1" applyFont="1" applyFill="1" applyBorder="1" applyProtection="1">
      <protection hidden="1"/>
    </xf>
    <xf numFmtId="164" fontId="2" fillId="2" borderId="7" xfId="2" applyNumberFormat="1" applyFont="1" applyFill="1" applyBorder="1" applyProtection="1">
      <protection hidden="1"/>
    </xf>
    <xf numFmtId="1" fontId="2" fillId="2" borderId="7" xfId="2" applyNumberFormat="1" applyFont="1" applyFill="1" applyBorder="1" applyProtection="1">
      <protection hidden="1"/>
    </xf>
    <xf numFmtId="0" fontId="2" fillId="2" borderId="8" xfId="2" applyFont="1" applyFill="1" applyBorder="1" applyProtection="1">
      <protection hidden="1"/>
    </xf>
    <xf numFmtId="0" fontId="1" fillId="2" borderId="0" xfId="1" applyFill="1" applyAlignment="1" applyProtection="1">
      <protection hidden="1"/>
    </xf>
    <xf numFmtId="167" fontId="2" fillId="2" borderId="1" xfId="1" applyNumberFormat="1" applyFont="1" applyFill="1" applyBorder="1" applyAlignment="1" applyProtection="1">
      <alignment horizontal="center" shrinkToFit="1"/>
      <protection hidden="1"/>
    </xf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2" fillId="2" borderId="3" xfId="2" applyNumberFormat="1" applyFont="1" applyFill="1" applyBorder="1" applyAlignment="1" applyProtection="1">
      <alignment horizontal="center"/>
      <protection hidden="1"/>
    </xf>
    <xf numFmtId="0" fontId="2" fillId="2" borderId="1" xfId="2" applyNumberFormat="1" applyFont="1" applyFill="1" applyBorder="1" applyAlignment="1" applyProtection="1">
      <alignment horizontal="center"/>
      <protection hidden="1"/>
    </xf>
    <xf numFmtId="0" fontId="2" fillId="2" borderId="3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center"/>
      <protection locked="0" hidden="1"/>
    </xf>
    <xf numFmtId="0" fontId="3" fillId="2" borderId="2" xfId="1" applyNumberFormat="1" applyFont="1" applyFill="1" applyBorder="1" applyAlignment="1" applyProtection="1">
      <alignment horizontal="center"/>
      <protection locked="0" hidden="1"/>
    </xf>
    <xf numFmtId="0" fontId="3" fillId="2" borderId="3" xfId="1" applyNumberFormat="1" applyFont="1" applyFill="1" applyBorder="1" applyAlignment="1" applyProtection="1">
      <alignment horizontal="center"/>
      <protection locked="0" hidden="1"/>
    </xf>
    <xf numFmtId="0" fontId="2" fillId="2" borderId="6" xfId="2" applyFont="1" applyFill="1" applyBorder="1" applyAlignment="1" applyProtection="1">
      <alignment horizontal="right"/>
      <protection hidden="1"/>
    </xf>
    <xf numFmtId="0" fontId="2" fillId="2" borderId="8" xfId="2" applyFont="1" applyFill="1" applyBorder="1" applyAlignment="1" applyProtection="1">
      <alignment horizontal="left"/>
      <protection hidden="1"/>
    </xf>
    <xf numFmtId="0" fontId="5" fillId="2" borderId="4" xfId="1" applyFont="1" applyFill="1" applyBorder="1" applyProtection="1">
      <protection hidden="1"/>
    </xf>
    <xf numFmtId="0" fontId="5" fillId="2" borderId="0" xfId="2" applyFont="1" applyFill="1" applyBorder="1" applyAlignment="1" applyProtection="1">
      <alignment horizontal="center"/>
      <protection hidden="1"/>
    </xf>
    <xf numFmtId="0" fontId="5" fillId="2" borderId="5" xfId="2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alignment horizontal="left"/>
      <protection hidden="1"/>
    </xf>
    <xf numFmtId="0" fontId="2" fillId="2" borderId="4" xfId="1" applyFont="1" applyFill="1" applyBorder="1" applyAlignment="1" applyProtection="1">
      <alignment horizontal="center"/>
      <protection hidden="1"/>
    </xf>
    <xf numFmtId="2" fontId="2" fillId="2" borderId="0" xfId="1" applyNumberFormat="1" applyFont="1" applyFill="1" applyBorder="1" applyAlignment="1" applyProtection="1">
      <alignment horizontal="center"/>
      <protection hidden="1"/>
    </xf>
    <xf numFmtId="2" fontId="2" fillId="2" borderId="5" xfId="1" applyNumberFormat="1" applyFont="1" applyFill="1" applyBorder="1" applyAlignment="1" applyProtection="1">
      <alignment horizontal="center"/>
      <protection hidden="1"/>
    </xf>
    <xf numFmtId="165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5" xfId="1" applyFont="1" applyFill="1" applyBorder="1" applyAlignment="1" applyProtection="1">
      <alignment horizontal="right"/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2" fillId="2" borderId="4" xfId="2" applyFont="1" applyFill="1" applyBorder="1" applyAlignment="1" applyProtection="1">
      <alignment horizontal="center"/>
      <protection hidden="1"/>
    </xf>
    <xf numFmtId="0" fontId="2" fillId="2" borderId="0" xfId="2" applyFont="1" applyFill="1" applyBorder="1" applyAlignment="1" applyProtection="1">
      <alignment horizontal="center"/>
      <protection hidden="1"/>
    </xf>
    <xf numFmtId="0" fontId="2" fillId="2" borderId="5" xfId="2" applyFont="1" applyFill="1" applyBorder="1" applyAlignment="1" applyProtection="1">
      <alignment horizontal="center"/>
      <protection hidden="1"/>
    </xf>
    <xf numFmtId="0" fontId="2" fillId="2" borderId="0" xfId="1" applyFont="1" applyFill="1" applyBorder="1" applyAlignment="1" applyProtection="1">
      <alignment horizontal="center"/>
      <protection hidden="1"/>
    </xf>
    <xf numFmtId="0" fontId="2" fillId="2" borderId="5" xfId="1" applyFont="1" applyFill="1" applyBorder="1" applyAlignment="1" applyProtection="1">
      <alignment horizontal="center"/>
      <protection hidden="1"/>
    </xf>
    <xf numFmtId="0" fontId="1" fillId="2" borderId="0" xfId="1" applyFont="1" applyFill="1" applyBorder="1" applyProtection="1">
      <protection hidden="1"/>
    </xf>
    <xf numFmtId="0" fontId="12" fillId="0" borderId="6" xfId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protection hidden="1"/>
    </xf>
    <xf numFmtId="0" fontId="8" fillId="2" borderId="17" xfId="1" applyFont="1" applyFill="1" applyBorder="1" applyAlignment="1" applyProtection="1">
      <alignment horizontal="left" shrinkToFit="1"/>
      <protection locked="0" hidden="1"/>
    </xf>
    <xf numFmtId="0" fontId="13" fillId="2" borderId="20" xfId="1" applyFont="1" applyFill="1" applyBorder="1" applyProtection="1">
      <protection hidden="1"/>
    </xf>
    <xf numFmtId="0" fontId="1" fillId="2" borderId="0" xfId="1" applyFont="1" applyFill="1" applyProtection="1">
      <protection hidden="1"/>
    </xf>
    <xf numFmtId="0" fontId="18" fillId="2" borderId="0" xfId="1" applyFont="1" applyFill="1" applyProtection="1">
      <protection hidden="1"/>
    </xf>
    <xf numFmtId="0" fontId="19" fillId="2" borderId="0" xfId="5" applyFont="1" applyFill="1" applyBorder="1" applyAlignment="1" applyProtection="1"/>
    <xf numFmtId="0" fontId="1" fillId="2" borderId="22" xfId="5" applyNumberFormat="1" applyFont="1" applyFill="1" applyBorder="1" applyAlignment="1" applyProtection="1">
      <alignment horizontal="right" vertical="center"/>
      <protection hidden="1"/>
    </xf>
    <xf numFmtId="0" fontId="1" fillId="2" borderId="22" xfId="5" applyNumberFormat="1" applyFont="1" applyFill="1" applyBorder="1" applyAlignment="1" applyProtection="1">
      <alignment vertical="top"/>
      <protection hidden="1"/>
    </xf>
    <xf numFmtId="0" fontId="1" fillId="2" borderId="22" xfId="1" applyFill="1" applyBorder="1" applyAlignment="1" applyProtection="1">
      <protection hidden="1"/>
    </xf>
    <xf numFmtId="0" fontId="1" fillId="2" borderId="22" xfId="1" applyNumberFormat="1" applyFont="1" applyFill="1" applyBorder="1" applyAlignment="1" applyProtection="1">
      <alignment vertical="center"/>
      <protection hidden="1"/>
    </xf>
    <xf numFmtId="0" fontId="21" fillId="2" borderId="22" xfId="1" applyNumberFormat="1" applyFont="1" applyFill="1" applyBorder="1" applyAlignment="1" applyProtection="1">
      <alignment vertical="center"/>
      <protection hidden="1"/>
    </xf>
    <xf numFmtId="0" fontId="22" fillId="2" borderId="0" xfId="5" applyNumberFormat="1" applyFont="1" applyFill="1" applyBorder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vertical="top"/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21" fillId="2" borderId="0" xfId="1" applyNumberFormat="1" applyFont="1" applyFill="1" applyBorder="1" applyAlignment="1" applyProtection="1">
      <alignment vertical="center"/>
      <protection hidden="1"/>
    </xf>
    <xf numFmtId="0" fontId="4" fillId="2" borderId="7" xfId="1" applyFont="1" applyFill="1" applyBorder="1" applyAlignment="1" applyProtection="1">
      <alignment horizontal="center"/>
      <protection hidden="1"/>
    </xf>
    <xf numFmtId="0" fontId="4" fillId="2" borderId="7" xfId="1" applyFont="1" applyFill="1" applyBorder="1" applyAlignment="1" applyProtection="1">
      <protection hidden="1"/>
    </xf>
    <xf numFmtId="0" fontId="4" fillId="2" borderId="6" xfId="1" applyFont="1" applyFill="1" applyBorder="1" applyAlignment="1" applyProtection="1">
      <protection hidden="1"/>
    </xf>
    <xf numFmtId="0" fontId="4" fillId="2" borderId="8" xfId="1" applyFont="1" applyFill="1" applyBorder="1" applyAlignment="1" applyProtection="1">
      <alignment horizontal="center"/>
      <protection hidden="1"/>
    </xf>
    <xf numFmtId="0" fontId="4" fillId="2" borderId="6" xfId="1" applyFont="1" applyFill="1" applyBorder="1" applyAlignment="1" applyProtection="1">
      <alignment horizontal="center"/>
      <protection hidden="1"/>
    </xf>
    <xf numFmtId="0" fontId="5" fillId="2" borderId="8" xfId="2" applyFont="1" applyFill="1" applyBorder="1" applyAlignment="1" applyProtection="1">
      <alignment horizontal="center"/>
      <protection hidden="1"/>
    </xf>
    <xf numFmtId="0" fontId="2" fillId="0" borderId="6" xfId="1" applyFont="1" applyBorder="1" applyAlignment="1" applyProtection="1">
      <alignment horizontal="center"/>
      <protection hidden="1"/>
    </xf>
    <xf numFmtId="0" fontId="2" fillId="2" borderId="8" xfId="2" applyFont="1" applyFill="1" applyBorder="1" applyAlignment="1" applyProtection="1">
      <alignment horizontal="center"/>
      <protection hidden="1"/>
    </xf>
    <xf numFmtId="0" fontId="2" fillId="0" borderId="7" xfId="1" applyFont="1" applyBorder="1" applyAlignment="1" applyProtection="1">
      <alignment horizontal="center"/>
      <protection hidden="1"/>
    </xf>
    <xf numFmtId="0" fontId="1" fillId="0" borderId="7" xfId="1" applyFont="1" applyBorder="1" applyAlignment="1" applyProtection="1">
      <protection hidden="1"/>
    </xf>
    <xf numFmtId="0" fontId="2" fillId="2" borderId="10" xfId="1" applyFont="1" applyFill="1" applyBorder="1" applyAlignment="1" applyProtection="1">
      <alignment horizontal="center"/>
      <protection hidden="1"/>
    </xf>
    <xf numFmtId="0" fontId="2" fillId="2" borderId="11" xfId="1" applyFont="1" applyFill="1" applyBorder="1" applyAlignment="1" applyProtection="1">
      <alignment horizontal="center"/>
      <protection hidden="1"/>
    </xf>
    <xf numFmtId="0" fontId="2" fillId="2" borderId="9" xfId="1" applyFont="1" applyFill="1" applyBorder="1" applyAlignment="1" applyProtection="1">
      <alignment horizontal="center"/>
      <protection hidden="1"/>
    </xf>
    <xf numFmtId="0" fontId="1" fillId="2" borderId="8" xfId="1" applyFont="1" applyFill="1" applyBorder="1" applyAlignment="1" applyProtection="1">
      <alignment horizontal="center"/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0" fontId="1" fillId="0" borderId="8" xfId="1" applyFont="1" applyFill="1" applyBorder="1" applyAlignment="1" applyProtection="1">
      <alignment horizontal="center"/>
      <protection hidden="1"/>
    </xf>
    <xf numFmtId="0" fontId="1" fillId="0" borderId="7" xfId="1" applyFont="1" applyFill="1" applyBorder="1" applyAlignment="1" applyProtection="1">
      <alignment horizontal="center"/>
      <protection hidden="1"/>
    </xf>
    <xf numFmtId="0" fontId="1" fillId="0" borderId="6" xfId="1" applyFont="1" applyFill="1" applyBorder="1" applyAlignment="1" applyProtection="1">
      <alignment horizontal="center"/>
      <protection hidden="1"/>
    </xf>
    <xf numFmtId="0" fontId="17" fillId="2" borderId="2" xfId="5" applyFill="1" applyBorder="1" applyAlignment="1" applyProtection="1">
      <alignment horizontal="left"/>
      <protection hidden="1"/>
    </xf>
    <xf numFmtId="0" fontId="1" fillId="3" borderId="3" xfId="1" applyFont="1" applyFill="1" applyBorder="1" applyAlignment="1" applyProtection="1">
      <alignment horizontal="center"/>
      <protection hidden="1"/>
    </xf>
    <xf numFmtId="0" fontId="1" fillId="3" borderId="2" xfId="1" applyFont="1" applyFill="1" applyBorder="1" applyAlignment="1" applyProtection="1">
      <alignment horizontal="center"/>
      <protection hidden="1"/>
    </xf>
    <xf numFmtId="0" fontId="1" fillId="3" borderId="1" xfId="1" applyFont="1" applyFill="1" applyBorder="1" applyAlignment="1" applyProtection="1">
      <alignment horizontal="center"/>
      <protection hidden="1"/>
    </xf>
    <xf numFmtId="0" fontId="3" fillId="2" borderId="0" xfId="1" applyFont="1" applyFill="1" applyBorder="1" applyAlignment="1" applyProtection="1">
      <alignment horizontal="center" shrinkToFit="1"/>
      <protection locked="0" hidden="1"/>
    </xf>
    <xf numFmtId="0" fontId="3" fillId="0" borderId="4" xfId="1" applyFont="1" applyBorder="1" applyAlignment="1" applyProtection="1">
      <alignment horizontal="center" shrinkToFit="1"/>
      <protection locked="0" hidden="1"/>
    </xf>
    <xf numFmtId="0" fontId="10" fillId="3" borderId="8" xfId="1" applyFont="1" applyFill="1" applyBorder="1" applyAlignment="1" applyProtection="1">
      <alignment horizontal="center"/>
      <protection hidden="1"/>
    </xf>
    <xf numFmtId="0" fontId="13" fillId="0" borderId="7" xfId="1" applyFont="1" applyBorder="1" applyProtection="1">
      <protection hidden="1"/>
    </xf>
    <xf numFmtId="0" fontId="16" fillId="2" borderId="21" xfId="1" applyFont="1" applyFill="1" applyBorder="1" applyAlignment="1" applyProtection="1">
      <protection hidden="1"/>
    </xf>
    <xf numFmtId="0" fontId="1" fillId="0" borderId="20" xfId="1" applyFont="1" applyBorder="1" applyAlignment="1" applyProtection="1"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1" fillId="2" borderId="2" xfId="1" applyFont="1" applyFill="1" applyBorder="1" applyAlignment="1" applyProtection="1">
      <alignment horizontal="center"/>
      <protection hidden="1"/>
    </xf>
    <xf numFmtId="0" fontId="1" fillId="2" borderId="1" xfId="1" applyFont="1" applyFill="1" applyBorder="1" applyAlignment="1" applyProtection="1">
      <alignment horizontal="center"/>
      <protection hidden="1"/>
    </xf>
    <xf numFmtId="0" fontId="1" fillId="0" borderId="2" xfId="1" applyFont="1" applyBorder="1" applyAlignment="1" applyProtection="1">
      <protection hidden="1"/>
    </xf>
    <xf numFmtId="0" fontId="9" fillId="2" borderId="7" xfId="1" applyFont="1" applyFill="1" applyBorder="1" applyAlignment="1" applyProtection="1">
      <alignment horizontal="center"/>
      <protection hidden="1"/>
    </xf>
    <xf numFmtId="0" fontId="10" fillId="2" borderId="10" xfId="1" applyFont="1" applyFill="1" applyBorder="1" applyAlignment="1" applyProtection="1">
      <alignment horizontal="center"/>
      <protection hidden="1"/>
    </xf>
    <xf numFmtId="0" fontId="10" fillId="0" borderId="11" xfId="1" applyFont="1" applyBorder="1" applyAlignment="1" applyProtection="1">
      <protection hidden="1"/>
    </xf>
    <xf numFmtId="0" fontId="10" fillId="2" borderId="9" xfId="1" applyFont="1" applyFill="1" applyBorder="1" applyAlignment="1" applyProtection="1">
      <alignment horizontal="center"/>
      <protection hidden="1"/>
    </xf>
    <xf numFmtId="0" fontId="1" fillId="0" borderId="1" xfId="1" applyFont="1" applyBorder="1" applyAlignment="1" applyProtection="1">
      <protection hidden="1"/>
    </xf>
    <xf numFmtId="0" fontId="7" fillId="3" borderId="10" xfId="1" applyFont="1" applyFill="1" applyBorder="1" applyAlignment="1" applyProtection="1">
      <alignment horizontal="center"/>
      <protection hidden="1"/>
    </xf>
    <xf numFmtId="0" fontId="1" fillId="0" borderId="11" xfId="1" applyBorder="1" applyAlignment="1" applyProtection="1">
      <protection hidden="1"/>
    </xf>
    <xf numFmtId="0" fontId="1" fillId="0" borderId="9" xfId="1" applyBorder="1" applyAlignment="1" applyProtection="1">
      <protection hidden="1"/>
    </xf>
    <xf numFmtId="0" fontId="20" fillId="2" borderId="0" xfId="6" applyFont="1" applyFill="1" applyBorder="1" applyAlignment="1" applyProtection="1">
      <alignment horizontal="center" vertical="center"/>
      <protection hidden="1"/>
    </xf>
    <xf numFmtId="0" fontId="20" fillId="2" borderId="22" xfId="6" applyFont="1" applyFill="1" applyBorder="1" applyAlignment="1" applyProtection="1">
      <alignment horizontal="center" vertical="center"/>
      <protection hidden="1"/>
    </xf>
    <xf numFmtId="0" fontId="17" fillId="2" borderId="0" xfId="5" applyFill="1" applyBorder="1" applyAlignment="1" applyProtection="1">
      <alignment horizontal="right"/>
      <protection hidden="1"/>
    </xf>
    <xf numFmtId="0" fontId="8" fillId="2" borderId="17" xfId="1" applyFont="1" applyFill="1" applyBorder="1" applyAlignment="1" applyProtection="1">
      <alignment horizontal="left" shrinkToFit="1"/>
      <protection locked="0" hidden="1"/>
    </xf>
    <xf numFmtId="0" fontId="1" fillId="0" borderId="17" xfId="1" applyBorder="1" applyAlignment="1" applyProtection="1">
      <alignment horizontal="left" shrinkToFit="1"/>
      <protection locked="0" hidden="1"/>
    </xf>
    <xf numFmtId="0" fontId="11" fillId="3" borderId="8" xfId="1" applyFont="1" applyFill="1" applyBorder="1" applyAlignment="1" applyProtection="1">
      <alignment horizontal="center"/>
      <protection hidden="1"/>
    </xf>
    <xf numFmtId="0" fontId="11" fillId="3" borderId="7" xfId="1" applyFont="1" applyFill="1" applyBorder="1" applyAlignment="1" applyProtection="1">
      <alignment horizontal="center"/>
      <protection hidden="1"/>
    </xf>
    <xf numFmtId="0" fontId="11" fillId="3" borderId="6" xfId="1" applyFont="1" applyFill="1" applyBorder="1" applyAlignment="1" applyProtection="1">
      <alignment horizontal="center"/>
      <protection hidden="1"/>
    </xf>
    <xf numFmtId="14" fontId="8" fillId="2" borderId="17" xfId="1" applyNumberFormat="1" applyFont="1" applyFill="1" applyBorder="1" applyAlignment="1" applyProtection="1">
      <alignment horizontal="left" shrinkToFit="1"/>
      <protection locked="0" hidden="1"/>
    </xf>
    <xf numFmtId="0" fontId="8" fillId="0" borderId="16" xfId="1" applyFont="1" applyBorder="1" applyAlignment="1" applyProtection="1">
      <alignment horizontal="left" shrinkToFit="1"/>
      <protection locked="0" hidden="1"/>
    </xf>
    <xf numFmtId="0" fontId="1" fillId="0" borderId="17" xfId="1" applyBorder="1" applyAlignment="1" applyProtection="1">
      <protection locked="0" hidden="1"/>
    </xf>
    <xf numFmtId="0" fontId="15" fillId="2" borderId="20" xfId="1" applyFont="1" applyFill="1" applyBorder="1" applyAlignment="1" applyProtection="1">
      <protection hidden="1"/>
    </xf>
    <xf numFmtId="0" fontId="1" fillId="2" borderId="20" xfId="1" applyFont="1" applyFill="1" applyBorder="1" applyAlignment="1" applyProtection="1">
      <protection hidden="1"/>
    </xf>
    <xf numFmtId="0" fontId="4" fillId="2" borderId="10" xfId="1" applyFont="1" applyFill="1" applyBorder="1" applyAlignment="1" applyProtection="1">
      <alignment horizontal="center"/>
      <protection hidden="1"/>
    </xf>
    <xf numFmtId="0" fontId="1" fillId="0" borderId="11" xfId="1" applyBorder="1" applyAlignment="1" applyProtection="1">
      <alignment horizontal="center"/>
      <protection hidden="1"/>
    </xf>
    <xf numFmtId="0" fontId="1" fillId="0" borderId="9" xfId="1" applyBorder="1" applyAlignment="1" applyProtection="1">
      <alignment horizontal="center"/>
      <protection hidden="1"/>
    </xf>
    <xf numFmtId="0" fontId="13" fillId="2" borderId="20" xfId="1" applyFont="1" applyFill="1" applyBorder="1" applyAlignment="1" applyProtection="1">
      <protection hidden="1"/>
    </xf>
    <xf numFmtId="0" fontId="1" fillId="0" borderId="19" xfId="1" applyFont="1" applyBorder="1" applyAlignment="1" applyProtection="1">
      <protection hidden="1"/>
    </xf>
    <xf numFmtId="0" fontId="3" fillId="2" borderId="7" xfId="1" applyFont="1" applyFill="1" applyBorder="1" applyAlignment="1" applyProtection="1">
      <alignment horizontal="left" shrinkToFit="1"/>
      <protection locked="0" hidden="1"/>
    </xf>
    <xf numFmtId="0" fontId="3" fillId="0" borderId="6" xfId="1" applyFont="1" applyBorder="1" applyAlignment="1" applyProtection="1">
      <alignment horizontal="left" shrinkToFit="1"/>
      <protection locked="0" hidden="1"/>
    </xf>
    <xf numFmtId="0" fontId="3" fillId="2" borderId="0" xfId="1" applyFont="1" applyFill="1" applyBorder="1" applyAlignment="1" applyProtection="1">
      <alignment horizontal="left" shrinkToFit="1"/>
      <protection locked="0" hidden="1"/>
    </xf>
    <xf numFmtId="0" fontId="3" fillId="0" borderId="4" xfId="1" applyFont="1" applyBorder="1" applyAlignment="1" applyProtection="1">
      <alignment horizontal="left" shrinkToFit="1"/>
      <protection locked="0" hidden="1"/>
    </xf>
    <xf numFmtId="0" fontId="8" fillId="2" borderId="2" xfId="1" applyFont="1" applyFill="1" applyBorder="1" applyAlignment="1" applyProtection="1">
      <alignment horizontal="left" shrinkToFit="1"/>
      <protection locked="0" hidden="1"/>
    </xf>
    <xf numFmtId="0" fontId="8" fillId="0" borderId="1" xfId="1" applyFont="1" applyBorder="1" applyAlignment="1" applyProtection="1">
      <alignment horizontal="left" shrinkToFit="1"/>
      <protection locked="0" hidden="1"/>
    </xf>
    <xf numFmtId="0" fontId="14" fillId="2" borderId="18" xfId="1" applyFont="1" applyFill="1" applyBorder="1" applyAlignment="1" applyProtection="1">
      <alignment horizontal="left" shrinkToFit="1"/>
      <protection locked="0"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1" fillId="0" borderId="7" xfId="1" applyBorder="1" applyAlignment="1" applyProtection="1">
      <alignment horizontal="center"/>
      <protection hidden="1"/>
    </xf>
  </cellXfs>
  <cellStyles count="9">
    <cellStyle name="Dezimal_Lean6-060602" xfId="4"/>
    <cellStyle name="Hyperlink" xfId="5" builtinId="8"/>
    <cellStyle name="Normal" xfId="0" builtinId="0"/>
    <cellStyle name="Normal 2" xfId="1"/>
    <cellStyle name="Normal_12.4E" xfId="6"/>
    <cellStyle name="Normal_12-6E" xfId="2"/>
    <cellStyle name="Percent 2" xfId="3"/>
    <cellStyle name="Standard 2" xfId="7"/>
    <cellStyle name="Währung_Lean6-060602" xfId="8"/>
  </cellStyles>
  <dxfs count="9">
    <dxf>
      <fill>
        <patternFill>
          <bgColor indexed="24"/>
        </patternFill>
      </fill>
    </dxf>
    <dxf>
      <fill>
        <patternFill>
          <bgColor indexed="24"/>
        </patternFill>
      </fill>
    </dxf>
    <dxf>
      <fill>
        <patternFill>
          <bgColor indexed="43"/>
        </patternFill>
      </fill>
    </dxf>
    <dxf>
      <fill>
        <patternFill>
          <bgColor indexed="43"/>
        </patternFill>
      </fill>
    </dxf>
    <dxf>
      <fill>
        <patternFill>
          <bgColor indexed="24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jpeg"/><Relationship Id="rId1" Type="http://schemas.openxmlformats.org/officeDocument/2006/relationships/hyperlink" Target="http://www.leanmap.com/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24000" cy="315616"/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34</xdr:row>
      <xdr:rowOff>9525</xdr:rowOff>
    </xdr:from>
    <xdr:to>
      <xdr:col>20</xdr:col>
      <xdr:colOff>9525</xdr:colOff>
      <xdr:row>57</xdr:row>
      <xdr:rowOff>19050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514975"/>
          <a:ext cx="7058025" cy="3733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65</xdr:col>
      <xdr:colOff>9525</xdr:colOff>
      <xdr:row>33</xdr:row>
      <xdr:rowOff>9525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43650" y="2105025"/>
          <a:ext cx="16573500" cy="32480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22</xdr:col>
      <xdr:colOff>152400</xdr:colOff>
      <xdr:row>13</xdr:row>
      <xdr:rowOff>85725</xdr:rowOff>
    </xdr:from>
    <xdr:to>
      <xdr:col>31</xdr:col>
      <xdr:colOff>104775</xdr:colOff>
      <xdr:row>26</xdr:row>
      <xdr:rowOff>0</xdr:rowOff>
    </xdr:to>
    <xdr:sp macro="" textlink="">
      <xdr:nvSpPr>
        <xdr:cNvPr id="8" name="Rectangle 7"/>
        <xdr:cNvSpPr/>
      </xdr:nvSpPr>
      <xdr:spPr>
        <a:xfrm>
          <a:off x="7905750" y="2190750"/>
          <a:ext cx="3124200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X98"/>
  <sheetViews>
    <sheetView tabSelected="1" workbookViewId="0">
      <selection activeCell="AA9" sqref="AA9"/>
    </sheetView>
  </sheetViews>
  <sheetFormatPr defaultColWidth="5.28515625" defaultRowHeight="12.75" customHeight="1"/>
  <cols>
    <col min="1" max="16384" width="5.28515625" style="1"/>
  </cols>
  <sheetData>
    <row r="1" spans="1:76" ht="12.75" customHeight="1">
      <c r="A1" s="147" t="s">
        <v>74</v>
      </c>
      <c r="B1" s="146"/>
      <c r="C1" s="146"/>
      <c r="E1" s="188" t="s">
        <v>73</v>
      </c>
      <c r="F1" s="188"/>
      <c r="G1" s="188"/>
      <c r="H1" s="188"/>
      <c r="I1" s="188"/>
      <c r="J1" s="188"/>
      <c r="K1" s="188"/>
      <c r="L1" s="188"/>
      <c r="M1" s="188"/>
      <c r="N1" s="188"/>
      <c r="O1" s="145"/>
      <c r="P1" s="145"/>
      <c r="Q1" s="145"/>
      <c r="R1" s="144" t="s">
        <v>72</v>
      </c>
      <c r="S1" s="105"/>
    </row>
    <row r="2" spans="1:76" ht="12.75" customHeight="1" thickBot="1">
      <c r="A2" s="143" t="s">
        <v>71</v>
      </c>
      <c r="B2" s="142"/>
      <c r="C2" s="142"/>
      <c r="D2" s="141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40"/>
      <c r="P2" s="140"/>
      <c r="Q2" s="140"/>
      <c r="R2" s="139" t="s">
        <v>70</v>
      </c>
      <c r="S2" s="105"/>
    </row>
    <row r="3" spans="1:76" ht="12.75" customHeight="1">
      <c r="A3" s="166"/>
      <c r="B3" s="166"/>
      <c r="C3" s="166"/>
      <c r="D3" s="138"/>
      <c r="E3" s="137"/>
      <c r="F3" s="131"/>
      <c r="G3" s="131"/>
      <c r="H3" s="136"/>
      <c r="I3" s="136"/>
      <c r="J3" s="136"/>
      <c r="K3" s="136"/>
      <c r="L3" s="136"/>
      <c r="M3" s="136"/>
      <c r="N3" s="131"/>
      <c r="O3" s="190"/>
      <c r="P3" s="190"/>
      <c r="Q3" s="190"/>
      <c r="R3" s="190"/>
    </row>
    <row r="4" spans="1:76" ht="12.75" customHeight="1">
      <c r="A4" s="174" t="s">
        <v>69</v>
      </c>
      <c r="B4" s="175"/>
      <c r="C4" s="175"/>
      <c r="D4" s="199" t="s">
        <v>68</v>
      </c>
      <c r="E4" s="199"/>
      <c r="F4" s="175"/>
      <c r="G4" s="204" t="s">
        <v>67</v>
      </c>
      <c r="H4" s="175"/>
      <c r="I4" s="175"/>
      <c r="J4" s="135" t="s">
        <v>66</v>
      </c>
      <c r="K4" s="199" t="s">
        <v>65</v>
      </c>
      <c r="L4" s="199"/>
      <c r="M4" s="175"/>
      <c r="N4" s="199" t="s">
        <v>64</v>
      </c>
      <c r="O4" s="200"/>
      <c r="P4" s="175"/>
      <c r="Q4" s="199" t="s">
        <v>63</v>
      </c>
      <c r="R4" s="205"/>
    </row>
    <row r="5" spans="1:76" ht="12.75" customHeight="1">
      <c r="A5" s="212" t="s">
        <v>62</v>
      </c>
      <c r="B5" s="192"/>
      <c r="C5" s="192"/>
      <c r="D5" s="191" t="s">
        <v>61</v>
      </c>
      <c r="E5" s="191"/>
      <c r="F5" s="192"/>
      <c r="G5" s="191" t="s">
        <v>60</v>
      </c>
      <c r="H5" s="192"/>
      <c r="I5" s="198"/>
      <c r="J5" s="134" t="s">
        <v>59</v>
      </c>
      <c r="K5" s="191" t="s">
        <v>58</v>
      </c>
      <c r="L5" s="191"/>
      <c r="M5" s="192"/>
      <c r="N5" s="191" t="s">
        <v>57</v>
      </c>
      <c r="O5" s="191"/>
      <c r="P5" s="191"/>
      <c r="Q5" s="196">
        <v>43831</v>
      </c>
      <c r="R5" s="197"/>
    </row>
    <row r="6" spans="1:76" ht="12.75" customHeight="1">
      <c r="D6" s="133"/>
      <c r="S6" s="105"/>
    </row>
    <row r="7" spans="1:76" ht="12.75" customHeight="1">
      <c r="A7" s="172" t="s">
        <v>56</v>
      </c>
      <c r="B7" s="173"/>
      <c r="C7" s="132"/>
      <c r="F7" s="193" t="s">
        <v>55</v>
      </c>
      <c r="G7" s="194"/>
      <c r="H7" s="194"/>
      <c r="I7" s="194"/>
      <c r="J7" s="194"/>
      <c r="K7" s="195"/>
      <c r="L7" s="3"/>
      <c r="M7" s="193" t="s">
        <v>54</v>
      </c>
      <c r="N7" s="194"/>
      <c r="O7" s="194"/>
      <c r="P7" s="194"/>
      <c r="Q7" s="194"/>
      <c r="R7" s="195"/>
      <c r="S7" s="105"/>
    </row>
    <row r="8" spans="1:76" ht="12.75" customHeight="1">
      <c r="A8" s="167" t="s">
        <v>53</v>
      </c>
      <c r="B8" s="168"/>
      <c r="C8" s="169"/>
      <c r="D8" s="131"/>
      <c r="F8" s="176" t="s">
        <v>34</v>
      </c>
      <c r="G8" s="177"/>
      <c r="H8" s="177"/>
      <c r="I8" s="176" t="s">
        <v>35</v>
      </c>
      <c r="J8" s="177"/>
      <c r="K8" s="178"/>
      <c r="L8" s="3"/>
      <c r="M8" s="176" t="s">
        <v>40</v>
      </c>
      <c r="N8" s="179"/>
      <c r="O8" s="179"/>
      <c r="P8" s="176" t="s">
        <v>42</v>
      </c>
      <c r="Q8" s="179"/>
      <c r="R8" s="184"/>
      <c r="BP8" s="155" t="s">
        <v>52</v>
      </c>
      <c r="BQ8" s="156"/>
      <c r="BR8" s="156"/>
      <c r="BS8" s="156"/>
      <c r="BT8" s="156"/>
      <c r="BU8" s="154"/>
      <c r="BV8" s="3"/>
      <c r="BW8" s="153" t="s">
        <v>36</v>
      </c>
      <c r="BX8" s="154"/>
    </row>
    <row r="9" spans="1:76" ht="12.75" customHeight="1">
      <c r="A9" s="130" t="s">
        <v>10</v>
      </c>
      <c r="B9" s="129" t="s">
        <v>11</v>
      </c>
      <c r="C9" s="120" t="s">
        <v>9</v>
      </c>
      <c r="F9" s="128" t="s">
        <v>5</v>
      </c>
      <c r="G9" s="127" t="s">
        <v>4</v>
      </c>
      <c r="H9" s="127" t="s">
        <v>3</v>
      </c>
      <c r="I9" s="128" t="s">
        <v>5</v>
      </c>
      <c r="J9" s="127" t="s">
        <v>4</v>
      </c>
      <c r="K9" s="126" t="s">
        <v>3</v>
      </c>
      <c r="L9" s="125"/>
      <c r="M9" s="124" t="s">
        <v>51</v>
      </c>
      <c r="N9" s="123" t="s">
        <v>25</v>
      </c>
      <c r="O9" s="120" t="s">
        <v>27</v>
      </c>
      <c r="P9" s="122" t="s">
        <v>29</v>
      </c>
      <c r="Q9" s="121" t="s">
        <v>28</v>
      </c>
      <c r="R9" s="120" t="s">
        <v>26</v>
      </c>
      <c r="S9" s="119"/>
      <c r="BP9" s="118" t="s">
        <v>50</v>
      </c>
      <c r="BQ9" s="117" t="s">
        <v>7</v>
      </c>
      <c r="BR9" s="117" t="s">
        <v>6</v>
      </c>
      <c r="BS9" s="117" t="s">
        <v>8</v>
      </c>
      <c r="BT9" s="117" t="s">
        <v>49</v>
      </c>
      <c r="BU9" s="116" t="s">
        <v>48</v>
      </c>
      <c r="BV9" s="3"/>
      <c r="BW9" s="115" t="s">
        <v>8</v>
      </c>
      <c r="BX9" s="114">
        <f>VLOOKUP($V$34,BP10:BU33,4)</f>
        <v>0.308</v>
      </c>
    </row>
    <row r="10" spans="1:76" ht="12.75" customHeight="1">
      <c r="A10" s="113">
        <v>4</v>
      </c>
      <c r="B10" s="112">
        <v>5</v>
      </c>
      <c r="C10" s="111">
        <v>8</v>
      </c>
      <c r="F10" s="39">
        <f>BX10*P34</f>
        <v>0.78049999999999997</v>
      </c>
      <c r="G10" s="38">
        <f>P34</f>
        <v>3.5</v>
      </c>
      <c r="H10" s="38">
        <f>BX11*P34</f>
        <v>6.2195</v>
      </c>
      <c r="I10" s="39">
        <f>O34-BX9*P34</f>
        <v>4.3669999999999991</v>
      </c>
      <c r="J10" s="38">
        <f>O34</f>
        <v>5.4449999999999994</v>
      </c>
      <c r="K10" s="37">
        <f>O34 +BX9* P34</f>
        <v>6.5229999999999997</v>
      </c>
      <c r="M10" s="110">
        <f>O34</f>
        <v>5.4449999999999994</v>
      </c>
      <c r="N10" s="107">
        <f>U34</f>
        <v>1.389892610983789</v>
      </c>
      <c r="O10" s="109">
        <f>S34</f>
        <v>1.0396486667967855</v>
      </c>
      <c r="P10" s="108">
        <f>Q34</f>
        <v>0.47965336415076631</v>
      </c>
      <c r="Q10" s="107">
        <f>R34</f>
        <v>0.34654955559892853</v>
      </c>
      <c r="R10" s="106">
        <f>T34</f>
        <v>298503.15778431226</v>
      </c>
      <c r="S10" s="105"/>
      <c r="T10" s="105"/>
      <c r="U10" s="105"/>
      <c r="BP10" s="104">
        <v>2</v>
      </c>
      <c r="BQ10" s="103">
        <v>0</v>
      </c>
      <c r="BR10" s="102">
        <v>3.2669999999999999</v>
      </c>
      <c r="BS10" s="102">
        <v>1.88</v>
      </c>
      <c r="BT10" s="18">
        <v>1.1279999999999999</v>
      </c>
      <c r="BU10" s="101">
        <v>0.79790000000000005</v>
      </c>
      <c r="BV10" s="3"/>
      <c r="BW10" s="82" t="s">
        <v>7</v>
      </c>
      <c r="BX10" s="100">
        <f>VLOOKUP($V$34,BP10:BU33,2)</f>
        <v>0.223</v>
      </c>
    </row>
    <row r="11" spans="1:76" s="3" customFormat="1" ht="12.75" customHeight="1">
      <c r="A11" s="1"/>
      <c r="B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6"/>
      <c r="T11" s="16"/>
      <c r="U11" s="16"/>
      <c r="V11" s="16"/>
      <c r="W11" s="201" t="s">
        <v>47</v>
      </c>
      <c r="X11" s="202"/>
      <c r="Y11" s="202"/>
      <c r="Z11" s="202"/>
      <c r="AA11" s="202"/>
      <c r="AB11" s="202"/>
      <c r="AC11" s="202"/>
      <c r="AD11" s="202"/>
      <c r="AE11" s="202"/>
      <c r="AF11" s="203"/>
      <c r="AG11" s="151" t="s">
        <v>46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52"/>
      <c r="AT11" s="151" t="s">
        <v>45</v>
      </c>
      <c r="AU11" s="148"/>
      <c r="AV11" s="148"/>
      <c r="AW11" s="148"/>
      <c r="AX11" s="148"/>
      <c r="AY11" s="148"/>
      <c r="AZ11" s="148"/>
      <c r="BA11" s="148"/>
      <c r="BB11" s="148"/>
      <c r="BC11" s="148"/>
      <c r="BD11" s="152"/>
      <c r="BH11" s="158" t="s">
        <v>44</v>
      </c>
      <c r="BI11" s="159"/>
      <c r="BJ11" s="159"/>
      <c r="BK11" s="159"/>
      <c r="BL11" s="159"/>
      <c r="BM11" s="160"/>
      <c r="BP11" s="59">
        <v>3</v>
      </c>
      <c r="BQ11" s="69">
        <v>0</v>
      </c>
      <c r="BR11" s="22">
        <v>2.5750000000000002</v>
      </c>
      <c r="BS11" s="22">
        <v>1.0229999999999999</v>
      </c>
      <c r="BT11" s="3">
        <v>1.6930000000000001</v>
      </c>
      <c r="BU11" s="58">
        <v>0.88619999999999999</v>
      </c>
      <c r="BW11" s="99" t="s">
        <v>6</v>
      </c>
      <c r="BX11" s="98">
        <f>VLOOKUP($V$34,BP10:BU33,3)</f>
        <v>1.7769999999999999</v>
      </c>
    </row>
    <row r="12" spans="1:76" s="3" customFormat="1" ht="12.75" customHeight="1">
      <c r="A12" s="185" t="s">
        <v>43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7"/>
      <c r="O12" s="181" t="s">
        <v>40</v>
      </c>
      <c r="P12" s="182"/>
      <c r="Q12" s="181" t="s">
        <v>42</v>
      </c>
      <c r="R12" s="183"/>
      <c r="S12" s="151" t="s">
        <v>41</v>
      </c>
      <c r="T12" s="180"/>
      <c r="U12" s="151" t="s">
        <v>40</v>
      </c>
      <c r="V12" s="150"/>
      <c r="W12" s="97"/>
      <c r="X12" s="95"/>
      <c r="Y12" s="95"/>
      <c r="Z12" s="95"/>
      <c r="AA12" s="96" t="s">
        <v>39</v>
      </c>
      <c r="AB12" s="95"/>
      <c r="AC12" s="95"/>
      <c r="AD12" s="95"/>
      <c r="AE12" s="95"/>
      <c r="AF12" s="95"/>
      <c r="AG12" s="151" t="s">
        <v>38</v>
      </c>
      <c r="AH12" s="148"/>
      <c r="AI12" s="148"/>
      <c r="AJ12" s="148"/>
      <c r="AK12" s="149"/>
      <c r="AL12" s="149"/>
      <c r="AM12" s="150"/>
      <c r="AN12" s="151" t="s">
        <v>37</v>
      </c>
      <c r="AO12" s="148"/>
      <c r="AP12" s="148"/>
      <c r="AQ12" s="148"/>
      <c r="AR12" s="149"/>
      <c r="AS12" s="150"/>
      <c r="AT12" s="151" t="s">
        <v>38</v>
      </c>
      <c r="AU12" s="149"/>
      <c r="AV12" s="149"/>
      <c r="AW12" s="149"/>
      <c r="AX12" s="149"/>
      <c r="AY12" s="150"/>
      <c r="AZ12" s="148" t="s">
        <v>37</v>
      </c>
      <c r="BA12" s="149"/>
      <c r="BB12" s="149"/>
      <c r="BC12" s="149"/>
      <c r="BD12" s="150"/>
      <c r="BE12" s="155" t="s">
        <v>36</v>
      </c>
      <c r="BF12" s="156"/>
      <c r="BG12" s="157"/>
      <c r="BH12" s="161" t="s">
        <v>35</v>
      </c>
      <c r="BI12" s="162"/>
      <c r="BJ12" s="162"/>
      <c r="BK12" s="163" t="s">
        <v>34</v>
      </c>
      <c r="BL12" s="164"/>
      <c r="BM12" s="165"/>
      <c r="BP12" s="59">
        <v>4</v>
      </c>
      <c r="BQ12" s="69">
        <v>0</v>
      </c>
      <c r="BR12" s="22">
        <v>2.282</v>
      </c>
      <c r="BS12" s="22">
        <v>0.72899999999999998</v>
      </c>
      <c r="BT12" s="3">
        <v>2.0590000000000002</v>
      </c>
      <c r="BU12" s="58">
        <v>0.92130000000000001</v>
      </c>
    </row>
    <row r="13" spans="1:76" s="3" customFormat="1" ht="12.75" customHeight="1">
      <c r="A13" s="94" t="s">
        <v>33</v>
      </c>
      <c r="B13" s="93" t="s">
        <v>32</v>
      </c>
      <c r="C13" s="210" t="s">
        <v>31</v>
      </c>
      <c r="D13" s="211"/>
      <c r="E13" s="91" t="s">
        <v>23</v>
      </c>
      <c r="F13" s="92" t="s">
        <v>22</v>
      </c>
      <c r="G13" s="92" t="s">
        <v>21</v>
      </c>
      <c r="H13" s="92" t="s">
        <v>20</v>
      </c>
      <c r="I13" s="92" t="s">
        <v>19</v>
      </c>
      <c r="J13" s="92" t="s">
        <v>18</v>
      </c>
      <c r="K13" s="92" t="s">
        <v>17</v>
      </c>
      <c r="L13" s="92" t="s">
        <v>16</v>
      </c>
      <c r="M13" s="92" t="s">
        <v>15</v>
      </c>
      <c r="N13" s="90" t="s">
        <v>14</v>
      </c>
      <c r="O13" s="92" t="s">
        <v>13</v>
      </c>
      <c r="P13" s="92" t="s">
        <v>30</v>
      </c>
      <c r="Q13" s="91" t="s">
        <v>29</v>
      </c>
      <c r="R13" s="90" t="s">
        <v>28</v>
      </c>
      <c r="S13" s="89" t="s">
        <v>27</v>
      </c>
      <c r="T13" s="88" t="s">
        <v>26</v>
      </c>
      <c r="U13" s="87" t="s">
        <v>25</v>
      </c>
      <c r="V13" s="86" t="s">
        <v>24</v>
      </c>
      <c r="W13" s="85" t="s">
        <v>23</v>
      </c>
      <c r="X13" s="84" t="s">
        <v>22</v>
      </c>
      <c r="Y13" s="84" t="s">
        <v>21</v>
      </c>
      <c r="Z13" s="84" t="s">
        <v>20</v>
      </c>
      <c r="AA13" s="84" t="s">
        <v>19</v>
      </c>
      <c r="AB13" s="84" t="s">
        <v>18</v>
      </c>
      <c r="AC13" s="84" t="s">
        <v>17</v>
      </c>
      <c r="AD13" s="84" t="s">
        <v>16</v>
      </c>
      <c r="AE13" s="84" t="s">
        <v>15</v>
      </c>
      <c r="AF13" s="84" t="s">
        <v>14</v>
      </c>
      <c r="AG13" s="85" t="s">
        <v>13</v>
      </c>
      <c r="AH13" s="84" t="s">
        <v>9</v>
      </c>
      <c r="AI13" s="84" t="s">
        <v>11</v>
      </c>
      <c r="AJ13" s="84" t="s">
        <v>10</v>
      </c>
      <c r="AK13" s="85" t="s">
        <v>5</v>
      </c>
      <c r="AL13" s="84" t="s">
        <v>4</v>
      </c>
      <c r="AM13" s="83" t="s">
        <v>3</v>
      </c>
      <c r="AN13" s="85" t="s">
        <v>12</v>
      </c>
      <c r="AO13" s="84" t="s">
        <v>10</v>
      </c>
      <c r="AP13" s="84" t="s">
        <v>9</v>
      </c>
      <c r="AQ13" s="85" t="s">
        <v>5</v>
      </c>
      <c r="AR13" s="84" t="s">
        <v>4</v>
      </c>
      <c r="AS13" s="83" t="s">
        <v>3</v>
      </c>
      <c r="AT13" s="85" t="s">
        <v>5</v>
      </c>
      <c r="AU13" s="84" t="s">
        <v>4</v>
      </c>
      <c r="AV13" s="84" t="s">
        <v>3</v>
      </c>
      <c r="AW13" s="85" t="s">
        <v>10</v>
      </c>
      <c r="AX13" s="84" t="s">
        <v>11</v>
      </c>
      <c r="AY13" s="83" t="s">
        <v>9</v>
      </c>
      <c r="AZ13" s="84" t="s">
        <v>5</v>
      </c>
      <c r="BA13" s="84" t="s">
        <v>4</v>
      </c>
      <c r="BB13" s="84" t="s">
        <v>3</v>
      </c>
      <c r="BC13" s="84" t="s">
        <v>10</v>
      </c>
      <c r="BD13" s="83" t="s">
        <v>9</v>
      </c>
      <c r="BE13" s="82" t="s">
        <v>8</v>
      </c>
      <c r="BF13" s="81" t="s">
        <v>7</v>
      </c>
      <c r="BG13" s="81" t="s">
        <v>6</v>
      </c>
      <c r="BH13" s="80" t="s">
        <v>5</v>
      </c>
      <c r="BI13" s="79" t="s">
        <v>4</v>
      </c>
      <c r="BJ13" s="79" t="s">
        <v>3</v>
      </c>
      <c r="BK13" s="80" t="s">
        <v>5</v>
      </c>
      <c r="BL13" s="79" t="s">
        <v>4</v>
      </c>
      <c r="BM13" s="78" t="s">
        <v>3</v>
      </c>
      <c r="BP13" s="59">
        <v>5</v>
      </c>
      <c r="BQ13" s="69">
        <v>0</v>
      </c>
      <c r="BR13" s="22">
        <v>2.1139999999999999</v>
      </c>
      <c r="BS13" s="22">
        <v>0.57699999999999996</v>
      </c>
      <c r="BT13" s="3">
        <v>2.3260000000000001</v>
      </c>
      <c r="BU13" s="58">
        <v>0.94</v>
      </c>
    </row>
    <row r="14" spans="1:76" s="3" customFormat="1" ht="12.75" customHeight="1">
      <c r="A14" s="77">
        <v>1</v>
      </c>
      <c r="B14" s="76">
        <v>43975</v>
      </c>
      <c r="C14" s="206" t="s">
        <v>2</v>
      </c>
      <c r="D14" s="207"/>
      <c r="E14" s="75">
        <v>4</v>
      </c>
      <c r="F14" s="74">
        <v>4</v>
      </c>
      <c r="G14" s="74">
        <v>4</v>
      </c>
      <c r="H14" s="74">
        <v>8</v>
      </c>
      <c r="I14" s="74">
        <v>4</v>
      </c>
      <c r="J14" s="74">
        <v>4</v>
      </c>
      <c r="K14" s="74">
        <v>4</v>
      </c>
      <c r="L14" s="74">
        <v>4</v>
      </c>
      <c r="M14" s="74">
        <v>4</v>
      </c>
      <c r="N14" s="73">
        <v>4</v>
      </c>
      <c r="O14" s="52">
        <f t="shared" ref="O14:O33" si="0">IF(COUNT(E14:N14)=0, "", AVERAGE(E14:N14))</f>
        <v>4.4000000000000004</v>
      </c>
      <c r="P14" s="51">
        <f t="shared" ref="P14:P33" si="1">IF(COUNT(E14:N14)=0, "", (MAX(E14:N14)-MIN(E14:N14)))</f>
        <v>4</v>
      </c>
      <c r="Q14" s="50">
        <f t="shared" ref="Q14:Q33" si="2">IF(V14&lt;1,"",(IF((($C$10-$A$10)/(6*U14+0.000000000001))&gt;9.99,"9.99",(($C$10-$A$10)/(6*U14+0.000000000001)))))</f>
        <v>0.51265791334089794</v>
      </c>
      <c r="R14" s="49">
        <f t="shared" ref="R14:R33" si="3">IF(V14&lt;1,"",(IF((((MIN((($C$10-O14)/((U14+0.000000000001))),((O14-$A$10)/(U14+0.000000000001))))/3)&gt;9.99),"9.99",((MIN((($C$10-O14)/((U14+0.000000000001))),((O14-$A$10)/(U14+0.000000000001))))/3))))</f>
        <v>0.10253158266811398</v>
      </c>
      <c r="S14" s="67">
        <f t="shared" ref="S14:S33" si="4">IF(V14&lt;1,"",(IF((R14*3)&gt;9.99,"9.99",(R14*3))))</f>
        <v>0.30759474800434194</v>
      </c>
      <c r="T14" s="66">
        <f t="shared" ref="T14:T33" si="5">IF(V14&lt;1,"",((1-((2*NORMSDIST(R14*3))-1))*1000000))</f>
        <v>758390.71706490288</v>
      </c>
      <c r="U14" s="63">
        <f t="shared" ref="U14:U33" si="6">IF(V14&lt;1,"", STDEV(E14:N14)/VLOOKUP(V14,$BP$11:$BU$33,6))</f>
        <v>1.3004123204146725</v>
      </c>
      <c r="V14" s="62">
        <f>IF((COUNT(E14:N14))=0,"",(COUNT(E14:N14)))</f>
        <v>10</v>
      </c>
      <c r="W14" s="72">
        <f t="shared" ref="W14:W33" si="7">IF(V14&lt;1,"",((E14-$B$10)/($C$10-$A$10)))</f>
        <v>-0.25</v>
      </c>
      <c r="X14" s="71">
        <f t="shared" ref="X14:X33" si="8">IF(V14&lt;1,"",((F14-$B$10)/($C$10-$A$10)))</f>
        <v>-0.25</v>
      </c>
      <c r="Y14" s="71">
        <f t="shared" ref="Y14:Y33" si="9">IF(V14&lt;1,"",((G14-$B$10)/($C$10-$A$10)))</f>
        <v>-0.25</v>
      </c>
      <c r="Z14" s="71">
        <f t="shared" ref="Z14:Z33" si="10">IF(V14&lt;1,"",((H14-$B$10)/($C$10-$A$10)))</f>
        <v>0.75</v>
      </c>
      <c r="AA14" s="71">
        <f t="shared" ref="AA14:AA33" si="11">IF(V14&lt;1,"",((I14-$B$10)/($C$10-$A$10)))</f>
        <v>-0.25</v>
      </c>
      <c r="AB14" s="71">
        <f t="shared" ref="AB14:AB33" si="12">IF(V14&lt;1,"",((J14-$B$10)/($C$10-$A$10)))</f>
        <v>-0.25</v>
      </c>
      <c r="AC14" s="71">
        <f t="shared" ref="AC14:AC33" si="13">IF(V14&lt;1,"",((K14-$B$10)/($C$10-$A$10)))</f>
        <v>-0.25</v>
      </c>
      <c r="AD14" s="71">
        <f t="shared" ref="AD14:AD33" si="14">IF(V14&lt;1,"",((L14-$B$10)/($C$10-$A$10)))</f>
        <v>-0.25</v>
      </c>
      <c r="AE14" s="71">
        <f t="shared" ref="AE14:AE33" si="15">IF(V14&lt;1,"",((M14-$B$10)/($C$10-$A$10)))</f>
        <v>-0.25</v>
      </c>
      <c r="AF14" s="70">
        <f t="shared" ref="AF14:AF33" si="16">IF(V14&lt;1,"",((N14-$B$10)/($C$10-$A$10)))</f>
        <v>-0.25</v>
      </c>
      <c r="AG14" s="65">
        <f t="shared" ref="AG14:AG33" si="17">IF(V14&lt;1,"",((O14-$B$10)/($C$10-$A$10)))</f>
        <v>-0.14999999999999991</v>
      </c>
      <c r="AH14" s="26">
        <f t="shared" ref="AH14:AH33" si="18">($C$10-$B$10)/($C$10-$A$10)</f>
        <v>0.75</v>
      </c>
      <c r="AI14" s="26">
        <v>0</v>
      </c>
      <c r="AJ14" s="26">
        <f t="shared" ref="AJ14:AJ33" si="19">-($B$10-$A$10)/($C$10-$A$10)</f>
        <v>-0.25</v>
      </c>
      <c r="AK14" s="72">
        <f t="shared" ref="AK14:AK33" si="20">IF(V14&lt;1,"",(IF(BH14&lt; 0,"",((BH14-$B$10)/($C$10-$A$10)))))</f>
        <v>-0.45799999999999996</v>
      </c>
      <c r="AL14" s="71">
        <f t="shared" ref="AL14:AL33" si="21">IF(V14&lt;1,"",((BI14-$B$10)/($C$10-$A$10)))</f>
        <v>-0.14999999999999991</v>
      </c>
      <c r="AM14" s="70">
        <f t="shared" ref="AM14:AM33" si="22">IF(V14&lt;1,"",((BJ14-$B$10)/($C$10-$A$10)))</f>
        <v>0.15800000000000014</v>
      </c>
      <c r="AN14" s="65">
        <f t="shared" ref="AN14:AN33" si="23">IF(V14&lt;1,"",(P14/($C$10-$A$10)))</f>
        <v>1</v>
      </c>
      <c r="AO14" s="26">
        <v>0</v>
      </c>
      <c r="AP14" s="26">
        <v>1</v>
      </c>
      <c r="AQ14" s="72">
        <f t="shared" ref="AQ14:AQ33" si="24">IF(V14&lt;1,"",(BK14/($C$10-$A$10)))</f>
        <v>0.223</v>
      </c>
      <c r="AR14" s="71">
        <f t="shared" ref="AR14:AR33" si="25">IF(V14&lt;1,"",((BL14)/($C$10-$A$10)))</f>
        <v>1</v>
      </c>
      <c r="AS14" s="70">
        <f t="shared" ref="AS14:AS33" si="26">IF(V14&lt;1,"",(BM14/($C$10-$A$10)))</f>
        <v>1.7769999999999999</v>
      </c>
      <c r="AT14" s="63">
        <f t="shared" ref="AT14:AT33" si="27">BH14</f>
        <v>3.1680000000000001</v>
      </c>
      <c r="AU14" s="25">
        <f t="shared" ref="AU14:AU33" si="28">BI14</f>
        <v>4.4000000000000004</v>
      </c>
      <c r="AV14" s="25">
        <f t="shared" ref="AV14:AV33" si="29">BJ14</f>
        <v>5.6320000000000006</v>
      </c>
      <c r="AW14" s="63">
        <f t="shared" ref="AW14:AW33" si="30">$A$10</f>
        <v>4</v>
      </c>
      <c r="AX14" s="25">
        <f t="shared" ref="AX14:AX33" si="31">$B$10</f>
        <v>5</v>
      </c>
      <c r="AY14" s="62">
        <f t="shared" ref="AY14:AY33" si="32">$C$10</f>
        <v>8</v>
      </c>
      <c r="AZ14" s="25">
        <f t="shared" ref="AZ14:AZ33" si="33">BK14</f>
        <v>0.89200000000000002</v>
      </c>
      <c r="BA14" s="25">
        <f t="shared" ref="BA14:BA33" si="34">BL14</f>
        <v>4</v>
      </c>
      <c r="BB14" s="25">
        <f t="shared" ref="BB14:BB33" si="35">BM14</f>
        <v>7.1079999999999997</v>
      </c>
      <c r="BC14" s="25">
        <f t="shared" ref="BC14:BC33" si="36">$BA$14-($B$10-$A$10)</f>
        <v>3</v>
      </c>
      <c r="BD14" s="62">
        <f t="shared" ref="BD14:BD33" si="37">$BA$14+($C$10-$B$10)</f>
        <v>7</v>
      </c>
      <c r="BE14" s="21">
        <f t="shared" ref="BE14:BE33" si="38">IF(V14&lt;1,"",(VLOOKUP($V14,$BP$11:$BT$33,4)))</f>
        <v>0.308</v>
      </c>
      <c r="BF14" s="18">
        <f t="shared" ref="BF14:BF33" si="39">IF(V14&lt;1,"",(VLOOKUP($V14,$BP$11:$BT$33,2)))</f>
        <v>0.223</v>
      </c>
      <c r="BG14" s="17">
        <f t="shared" ref="BG14:BG33" si="40">IF(V14&lt;1,"",(VLOOKUP($V14,$BP$11:$BT$33,3)))</f>
        <v>1.7769999999999999</v>
      </c>
      <c r="BH14" s="14">
        <f>IF(V14&lt;1,"",(AVERAGE(O$14:O14))-(BE14*(AVERAGE(P$14:P14))))</f>
        <v>3.1680000000000001</v>
      </c>
      <c r="BI14" s="3">
        <f>IF(V14&lt;1,"",(AVERAGE(O$14:O14)))</f>
        <v>4.4000000000000004</v>
      </c>
      <c r="BJ14" s="3">
        <f>IF(V14&lt;1,"",((AVERAGE(O$14:O14))+(BE14*(AVERAGE(P$14:P14)))))</f>
        <v>5.6320000000000006</v>
      </c>
      <c r="BK14" s="61">
        <f>IF(V14&lt;1,"",(BF14*AVERAGE(P$14:P14)))</f>
        <v>0.89200000000000002</v>
      </c>
      <c r="BL14" s="24">
        <f>IF(V14&lt;1,"",(AVERAGE(P$14:P14)))</f>
        <v>4</v>
      </c>
      <c r="BM14" s="60">
        <f>IF(V14&lt;1,"",(BG14*AVERAGE(P$14:P14)))</f>
        <v>7.1079999999999997</v>
      </c>
      <c r="BP14" s="59">
        <v>6</v>
      </c>
      <c r="BQ14" s="69">
        <v>0</v>
      </c>
      <c r="BR14" s="22">
        <v>2.004</v>
      </c>
      <c r="BS14" s="22">
        <v>0.48299999999999998</v>
      </c>
      <c r="BT14" s="3">
        <v>2.5339999999999998</v>
      </c>
      <c r="BU14" s="58">
        <v>0.95150000000000001</v>
      </c>
    </row>
    <row r="15" spans="1:76" s="3" customFormat="1" ht="12.75" customHeight="1">
      <c r="A15" s="57">
        <v>2</v>
      </c>
      <c r="B15" s="68">
        <v>43976</v>
      </c>
      <c r="C15" s="208" t="s">
        <v>1</v>
      </c>
      <c r="D15" s="209"/>
      <c r="E15" s="55">
        <v>4</v>
      </c>
      <c r="F15" s="54">
        <v>4</v>
      </c>
      <c r="G15" s="54">
        <v>8</v>
      </c>
      <c r="H15" s="54">
        <v>4</v>
      </c>
      <c r="I15" s="54">
        <v>4</v>
      </c>
      <c r="J15" s="54">
        <v>5</v>
      </c>
      <c r="K15" s="54">
        <v>5</v>
      </c>
      <c r="L15" s="54">
        <v>5</v>
      </c>
      <c r="M15" s="54">
        <v>5</v>
      </c>
      <c r="N15" s="53">
        <v>5</v>
      </c>
      <c r="O15" s="52">
        <f t="shared" si="0"/>
        <v>4.9000000000000004</v>
      </c>
      <c r="P15" s="51">
        <f t="shared" si="1"/>
        <v>4</v>
      </c>
      <c r="Q15" s="50">
        <f t="shared" si="2"/>
        <v>0.54164414932319205</v>
      </c>
      <c r="R15" s="49">
        <f t="shared" si="3"/>
        <v>0.24373986719527149</v>
      </c>
      <c r="S15" s="67">
        <f t="shared" si="4"/>
        <v>0.73121960158581445</v>
      </c>
      <c r="T15" s="66">
        <f t="shared" si="5"/>
        <v>464645.02919724194</v>
      </c>
      <c r="U15" s="63">
        <f t="shared" si="6"/>
        <v>1.2308203965640641</v>
      </c>
      <c r="V15" s="62">
        <f t="shared" ref="V15:V33" si="41">COUNT(E15:N15)</f>
        <v>10</v>
      </c>
      <c r="W15" s="65">
        <f t="shared" si="7"/>
        <v>-0.25</v>
      </c>
      <c r="X15" s="26">
        <f t="shared" si="8"/>
        <v>-0.25</v>
      </c>
      <c r="Y15" s="26">
        <f t="shared" si="9"/>
        <v>0.75</v>
      </c>
      <c r="Z15" s="26">
        <f t="shared" si="10"/>
        <v>-0.25</v>
      </c>
      <c r="AA15" s="26">
        <f t="shared" si="11"/>
        <v>-0.25</v>
      </c>
      <c r="AB15" s="26">
        <f t="shared" si="12"/>
        <v>0</v>
      </c>
      <c r="AC15" s="26">
        <f t="shared" si="13"/>
        <v>0</v>
      </c>
      <c r="AD15" s="26">
        <f t="shared" si="14"/>
        <v>0</v>
      </c>
      <c r="AE15" s="26">
        <f t="shared" si="15"/>
        <v>0</v>
      </c>
      <c r="AF15" s="64">
        <f t="shared" si="16"/>
        <v>0</v>
      </c>
      <c r="AG15" s="65">
        <f t="shared" si="17"/>
        <v>-2.4999999999999911E-2</v>
      </c>
      <c r="AH15" s="26">
        <f t="shared" si="18"/>
        <v>0.75</v>
      </c>
      <c r="AI15" s="26">
        <v>0</v>
      </c>
      <c r="AJ15" s="26">
        <f t="shared" si="19"/>
        <v>-0.25</v>
      </c>
      <c r="AK15" s="65">
        <f t="shared" si="20"/>
        <v>-0.39549999999999996</v>
      </c>
      <c r="AL15" s="26">
        <f t="shared" si="21"/>
        <v>-8.7499999999999911E-2</v>
      </c>
      <c r="AM15" s="64">
        <f t="shared" si="22"/>
        <v>0.22050000000000014</v>
      </c>
      <c r="AN15" s="65">
        <f t="shared" si="23"/>
        <v>1</v>
      </c>
      <c r="AO15" s="26">
        <v>0</v>
      </c>
      <c r="AP15" s="26">
        <v>1</v>
      </c>
      <c r="AQ15" s="65">
        <f t="shared" si="24"/>
        <v>0.223</v>
      </c>
      <c r="AR15" s="26">
        <f t="shared" si="25"/>
        <v>1</v>
      </c>
      <c r="AS15" s="64">
        <f t="shared" si="26"/>
        <v>1.7769999999999999</v>
      </c>
      <c r="AT15" s="63">
        <f t="shared" si="27"/>
        <v>3.4180000000000001</v>
      </c>
      <c r="AU15" s="25">
        <f t="shared" si="28"/>
        <v>4.6500000000000004</v>
      </c>
      <c r="AV15" s="25">
        <f t="shared" si="29"/>
        <v>5.8820000000000006</v>
      </c>
      <c r="AW15" s="63">
        <f t="shared" si="30"/>
        <v>4</v>
      </c>
      <c r="AX15" s="25">
        <f t="shared" si="31"/>
        <v>5</v>
      </c>
      <c r="AY15" s="62">
        <f t="shared" si="32"/>
        <v>8</v>
      </c>
      <c r="AZ15" s="25">
        <f t="shared" si="33"/>
        <v>0.89200000000000002</v>
      </c>
      <c r="BA15" s="25">
        <f t="shared" si="34"/>
        <v>4</v>
      </c>
      <c r="BB15" s="25">
        <f t="shared" si="35"/>
        <v>7.1079999999999997</v>
      </c>
      <c r="BC15" s="25">
        <f t="shared" si="36"/>
        <v>3</v>
      </c>
      <c r="BD15" s="62">
        <f t="shared" si="37"/>
        <v>7</v>
      </c>
      <c r="BE15" s="14">
        <f t="shared" si="38"/>
        <v>0.308</v>
      </c>
      <c r="BF15" s="3">
        <f t="shared" si="39"/>
        <v>0.223</v>
      </c>
      <c r="BG15" s="15">
        <f t="shared" si="40"/>
        <v>1.7769999999999999</v>
      </c>
      <c r="BH15" s="14">
        <f>IF(V15&lt;1,"",(AVERAGE(O$14:O15))-(BE15*(AVERAGE(P$14:P15))))</f>
        <v>3.4180000000000001</v>
      </c>
      <c r="BI15" s="3">
        <f>IF(V15&lt;1,"",(AVERAGE(O$14:O15)))</f>
        <v>4.6500000000000004</v>
      </c>
      <c r="BJ15" s="3">
        <f>IF(V15&lt;1,"",((AVERAGE(O$14:O15))+(BE15*(AVERAGE(P$14:P15)))))</f>
        <v>5.8820000000000006</v>
      </c>
      <c r="BK15" s="61">
        <f>IF(V15&lt;1,"",(BF15*AVERAGE(P$14:P15)))</f>
        <v>0.89200000000000002</v>
      </c>
      <c r="BL15" s="24">
        <f>IF(V15&lt;1,"",(AVERAGE(P$14:P15)))</f>
        <v>4</v>
      </c>
      <c r="BM15" s="60">
        <f>IF(V15&lt;1,"",(BG15*AVERAGE(P$14:P15)))</f>
        <v>7.1079999999999997</v>
      </c>
      <c r="BP15" s="59">
        <v>7</v>
      </c>
      <c r="BQ15" s="22">
        <v>7.5999999999999998E-2</v>
      </c>
      <c r="BR15" s="22">
        <v>1.9239999999999999</v>
      </c>
      <c r="BS15" s="22">
        <v>0.41899999999999998</v>
      </c>
      <c r="BT15" s="3">
        <v>2.7040000000000002</v>
      </c>
      <c r="BU15" s="58">
        <v>0.95940000000000003</v>
      </c>
    </row>
    <row r="16" spans="1:76" s="3" customFormat="1" ht="12.75" customHeight="1">
      <c r="A16" s="57">
        <v>3</v>
      </c>
      <c r="B16" s="56"/>
      <c r="C16" s="170"/>
      <c r="D16" s="171"/>
      <c r="E16" s="55">
        <v>5</v>
      </c>
      <c r="F16" s="54">
        <v>5</v>
      </c>
      <c r="G16" s="54">
        <v>8</v>
      </c>
      <c r="H16" s="54">
        <v>5</v>
      </c>
      <c r="I16" s="54">
        <v>4</v>
      </c>
      <c r="J16" s="54">
        <v>5</v>
      </c>
      <c r="K16" s="54">
        <v>4</v>
      </c>
      <c r="L16" s="54">
        <v>5</v>
      </c>
      <c r="M16" s="54">
        <v>5</v>
      </c>
      <c r="N16" s="53">
        <v>5</v>
      </c>
      <c r="O16" s="52">
        <f t="shared" si="0"/>
        <v>5.0999999999999996</v>
      </c>
      <c r="P16" s="51">
        <f t="shared" si="1"/>
        <v>4</v>
      </c>
      <c r="Q16" s="50">
        <f t="shared" si="2"/>
        <v>0.58924466966943645</v>
      </c>
      <c r="R16" s="49">
        <f t="shared" si="3"/>
        <v>0.32408456831795124</v>
      </c>
      <c r="S16" s="67">
        <f t="shared" si="4"/>
        <v>0.97225370495385377</v>
      </c>
      <c r="T16" s="66">
        <f t="shared" si="5"/>
        <v>330924.34888951463</v>
      </c>
      <c r="U16" s="63">
        <f t="shared" si="6"/>
        <v>1.1313919344243968</v>
      </c>
      <c r="V16" s="62">
        <f t="shared" si="41"/>
        <v>10</v>
      </c>
      <c r="W16" s="65">
        <f t="shared" si="7"/>
        <v>0</v>
      </c>
      <c r="X16" s="26">
        <f t="shared" si="8"/>
        <v>0</v>
      </c>
      <c r="Y16" s="26">
        <f t="shared" si="9"/>
        <v>0.75</v>
      </c>
      <c r="Z16" s="26">
        <f t="shared" si="10"/>
        <v>0</v>
      </c>
      <c r="AA16" s="26">
        <f t="shared" si="11"/>
        <v>-0.25</v>
      </c>
      <c r="AB16" s="26">
        <f t="shared" si="12"/>
        <v>0</v>
      </c>
      <c r="AC16" s="26">
        <f t="shared" si="13"/>
        <v>-0.25</v>
      </c>
      <c r="AD16" s="26">
        <f t="shared" si="14"/>
        <v>0</v>
      </c>
      <c r="AE16" s="26">
        <f t="shared" si="15"/>
        <v>0</v>
      </c>
      <c r="AF16" s="64">
        <f t="shared" si="16"/>
        <v>0</v>
      </c>
      <c r="AG16" s="65">
        <f t="shared" si="17"/>
        <v>2.4999999999999911E-2</v>
      </c>
      <c r="AH16" s="26">
        <f t="shared" si="18"/>
        <v>0.75</v>
      </c>
      <c r="AI16" s="26">
        <v>0</v>
      </c>
      <c r="AJ16" s="26">
        <f t="shared" si="19"/>
        <v>-0.25</v>
      </c>
      <c r="AK16" s="65">
        <f t="shared" si="20"/>
        <v>-0.3580000000000001</v>
      </c>
      <c r="AL16" s="26">
        <f t="shared" si="21"/>
        <v>-5.0000000000000044E-2</v>
      </c>
      <c r="AM16" s="64">
        <f t="shared" si="22"/>
        <v>0.25800000000000001</v>
      </c>
      <c r="AN16" s="65">
        <f t="shared" si="23"/>
        <v>1</v>
      </c>
      <c r="AO16" s="26">
        <v>0</v>
      </c>
      <c r="AP16" s="26">
        <v>1</v>
      </c>
      <c r="AQ16" s="65">
        <f t="shared" si="24"/>
        <v>0.223</v>
      </c>
      <c r="AR16" s="26">
        <f t="shared" si="25"/>
        <v>1</v>
      </c>
      <c r="AS16" s="64">
        <f t="shared" si="26"/>
        <v>1.7769999999999999</v>
      </c>
      <c r="AT16" s="63">
        <f t="shared" si="27"/>
        <v>3.5679999999999996</v>
      </c>
      <c r="AU16" s="25">
        <f t="shared" si="28"/>
        <v>4.8</v>
      </c>
      <c r="AV16" s="25">
        <f t="shared" si="29"/>
        <v>6.032</v>
      </c>
      <c r="AW16" s="63">
        <f t="shared" si="30"/>
        <v>4</v>
      </c>
      <c r="AX16" s="25">
        <f t="shared" si="31"/>
        <v>5</v>
      </c>
      <c r="AY16" s="62">
        <f t="shared" si="32"/>
        <v>8</v>
      </c>
      <c r="AZ16" s="25">
        <f t="shared" si="33"/>
        <v>0.89200000000000002</v>
      </c>
      <c r="BA16" s="25">
        <f t="shared" si="34"/>
        <v>4</v>
      </c>
      <c r="BB16" s="25">
        <f t="shared" si="35"/>
        <v>7.1079999999999997</v>
      </c>
      <c r="BC16" s="25">
        <f t="shared" si="36"/>
        <v>3</v>
      </c>
      <c r="BD16" s="62">
        <f t="shared" si="37"/>
        <v>7</v>
      </c>
      <c r="BE16" s="14">
        <f t="shared" si="38"/>
        <v>0.308</v>
      </c>
      <c r="BF16" s="3">
        <f t="shared" si="39"/>
        <v>0.223</v>
      </c>
      <c r="BG16" s="15">
        <f t="shared" si="40"/>
        <v>1.7769999999999999</v>
      </c>
      <c r="BH16" s="14">
        <f>IF(V16&lt;1,"",(AVERAGE(O$14:O16))-(BE16*(AVERAGE(P$14:P16))))</f>
        <v>3.5679999999999996</v>
      </c>
      <c r="BI16" s="3">
        <f>IF(V16&lt;1,"",(AVERAGE(O$14:O16)))</f>
        <v>4.8</v>
      </c>
      <c r="BJ16" s="3">
        <f>IF(V16&lt;1,"",((AVERAGE(O$14:O16))+(BE16*(AVERAGE(P$14:P16)))))</f>
        <v>6.032</v>
      </c>
      <c r="BK16" s="61">
        <f>IF(V16&lt;1,"",(BF16*AVERAGE(P$14:P16)))</f>
        <v>0.89200000000000002</v>
      </c>
      <c r="BL16" s="24">
        <f>IF(V16&lt;1,"",(AVERAGE(P$14:P16)))</f>
        <v>4</v>
      </c>
      <c r="BM16" s="60">
        <f>IF(V16&lt;1,"",(BG16*AVERAGE(P$14:P16)))</f>
        <v>7.1079999999999997</v>
      </c>
      <c r="BP16" s="59">
        <v>8</v>
      </c>
      <c r="BQ16" s="22">
        <v>0.13600000000000001</v>
      </c>
      <c r="BR16" s="22">
        <v>1.8640000000000001</v>
      </c>
      <c r="BS16" s="22">
        <v>0.373</v>
      </c>
      <c r="BT16" s="3">
        <v>2.847</v>
      </c>
      <c r="BU16" s="58">
        <v>0.96499999999999997</v>
      </c>
    </row>
    <row r="17" spans="1:76" s="3" customFormat="1" ht="12.75" customHeight="1">
      <c r="A17" s="57">
        <v>4</v>
      </c>
      <c r="B17" s="56"/>
      <c r="C17" s="170"/>
      <c r="D17" s="171"/>
      <c r="E17" s="55">
        <v>5</v>
      </c>
      <c r="F17" s="54">
        <v>4</v>
      </c>
      <c r="G17" s="54">
        <v>8</v>
      </c>
      <c r="H17" s="54">
        <v>1</v>
      </c>
      <c r="I17" s="54">
        <v>4</v>
      </c>
      <c r="J17" s="54">
        <v>5</v>
      </c>
      <c r="K17" s="54">
        <v>5</v>
      </c>
      <c r="L17" s="54">
        <v>5</v>
      </c>
      <c r="M17" s="54">
        <v>5</v>
      </c>
      <c r="N17" s="53">
        <v>5</v>
      </c>
      <c r="O17" s="52">
        <f t="shared" si="0"/>
        <v>4.7</v>
      </c>
      <c r="P17" s="51">
        <f t="shared" si="1"/>
        <v>7</v>
      </c>
      <c r="Q17" s="50">
        <f t="shared" si="2"/>
        <v>0.38079273834793181</v>
      </c>
      <c r="R17" s="49">
        <f t="shared" si="3"/>
        <v>0.13327745842171274</v>
      </c>
      <c r="S17" s="67">
        <f t="shared" si="4"/>
        <v>0.39983237526513821</v>
      </c>
      <c r="T17" s="66">
        <f t="shared" si="5"/>
        <v>689279.98328718694</v>
      </c>
      <c r="U17" s="63">
        <f t="shared" si="6"/>
        <v>1.7507336656653028</v>
      </c>
      <c r="V17" s="62">
        <f t="shared" si="41"/>
        <v>10</v>
      </c>
      <c r="W17" s="65">
        <f t="shared" si="7"/>
        <v>0</v>
      </c>
      <c r="X17" s="26">
        <f t="shared" si="8"/>
        <v>-0.25</v>
      </c>
      <c r="Y17" s="26">
        <f t="shared" si="9"/>
        <v>0.75</v>
      </c>
      <c r="Z17" s="26">
        <f t="shared" si="10"/>
        <v>-1</v>
      </c>
      <c r="AA17" s="26">
        <f t="shared" si="11"/>
        <v>-0.25</v>
      </c>
      <c r="AB17" s="26">
        <f t="shared" si="12"/>
        <v>0</v>
      </c>
      <c r="AC17" s="26">
        <f t="shared" si="13"/>
        <v>0</v>
      </c>
      <c r="AD17" s="26">
        <f t="shared" si="14"/>
        <v>0</v>
      </c>
      <c r="AE17" s="26">
        <f t="shared" si="15"/>
        <v>0</v>
      </c>
      <c r="AF17" s="64">
        <f t="shared" si="16"/>
        <v>0</v>
      </c>
      <c r="AG17" s="65">
        <f t="shared" si="17"/>
        <v>-7.4999999999999956E-2</v>
      </c>
      <c r="AH17" s="26">
        <f t="shared" si="18"/>
        <v>0.75</v>
      </c>
      <c r="AI17" s="26">
        <v>0</v>
      </c>
      <c r="AJ17" s="26">
        <f t="shared" si="19"/>
        <v>-0.25</v>
      </c>
      <c r="AK17" s="65">
        <f t="shared" si="20"/>
        <v>-0.42199999999999993</v>
      </c>
      <c r="AL17" s="26">
        <f t="shared" si="21"/>
        <v>-5.6249999999999911E-2</v>
      </c>
      <c r="AM17" s="64">
        <f t="shared" si="22"/>
        <v>0.30950000000000011</v>
      </c>
      <c r="AN17" s="65">
        <f t="shared" si="23"/>
        <v>1.75</v>
      </c>
      <c r="AO17" s="26">
        <v>0</v>
      </c>
      <c r="AP17" s="26">
        <v>1</v>
      </c>
      <c r="AQ17" s="65">
        <f t="shared" si="24"/>
        <v>0.26481250000000001</v>
      </c>
      <c r="AR17" s="26">
        <f t="shared" si="25"/>
        <v>1.1875</v>
      </c>
      <c r="AS17" s="64">
        <f t="shared" si="26"/>
        <v>2.1101874999999999</v>
      </c>
      <c r="AT17" s="63">
        <f t="shared" si="27"/>
        <v>3.3120000000000003</v>
      </c>
      <c r="AU17" s="25">
        <f t="shared" si="28"/>
        <v>4.7750000000000004</v>
      </c>
      <c r="AV17" s="25">
        <f t="shared" si="29"/>
        <v>6.2380000000000004</v>
      </c>
      <c r="AW17" s="63">
        <f t="shared" si="30"/>
        <v>4</v>
      </c>
      <c r="AX17" s="25">
        <f t="shared" si="31"/>
        <v>5</v>
      </c>
      <c r="AY17" s="62">
        <f t="shared" si="32"/>
        <v>8</v>
      </c>
      <c r="AZ17" s="25">
        <f t="shared" si="33"/>
        <v>1.05925</v>
      </c>
      <c r="BA17" s="25">
        <f t="shared" si="34"/>
        <v>4.75</v>
      </c>
      <c r="BB17" s="25">
        <f t="shared" si="35"/>
        <v>8.4407499999999995</v>
      </c>
      <c r="BC17" s="25">
        <f t="shared" si="36"/>
        <v>3</v>
      </c>
      <c r="BD17" s="62">
        <f t="shared" si="37"/>
        <v>7</v>
      </c>
      <c r="BE17" s="14">
        <f t="shared" si="38"/>
        <v>0.308</v>
      </c>
      <c r="BF17" s="3">
        <f t="shared" si="39"/>
        <v>0.223</v>
      </c>
      <c r="BG17" s="15">
        <f t="shared" si="40"/>
        <v>1.7769999999999999</v>
      </c>
      <c r="BH17" s="14">
        <f>IF(V17&lt;1,"",(AVERAGE(O$14:O17))-(BE17*(AVERAGE(P$14:P17))))</f>
        <v>3.3120000000000003</v>
      </c>
      <c r="BI17" s="3">
        <f>IF(V17&lt;1,"",(AVERAGE(O$14:O17)))</f>
        <v>4.7750000000000004</v>
      </c>
      <c r="BJ17" s="3">
        <f>IF(V17&lt;1,"",((AVERAGE(O$14:O17))+(BE17*(AVERAGE(P$14:P17)))))</f>
        <v>6.2380000000000004</v>
      </c>
      <c r="BK17" s="61">
        <f>IF(V17&lt;1,"",(BF17*AVERAGE(P$14:P17)))</f>
        <v>1.05925</v>
      </c>
      <c r="BL17" s="24">
        <f>IF(V17&lt;1,"",(AVERAGE(P$14:P17)))</f>
        <v>4.75</v>
      </c>
      <c r="BM17" s="60">
        <f>IF(V17&lt;1,"",(BG17*AVERAGE(P$14:P17)))</f>
        <v>8.4407499999999995</v>
      </c>
      <c r="BP17" s="59">
        <v>9</v>
      </c>
      <c r="BQ17" s="22">
        <v>0.184</v>
      </c>
      <c r="BR17" s="22">
        <v>1.8160000000000001</v>
      </c>
      <c r="BS17" s="22">
        <v>0.33700000000000002</v>
      </c>
      <c r="BT17" s="3">
        <v>2.97</v>
      </c>
      <c r="BU17" s="58">
        <v>0.96930000000000005</v>
      </c>
      <c r="BV17" s="1"/>
      <c r="BW17" s="1"/>
      <c r="BX17" s="1"/>
    </row>
    <row r="18" spans="1:76" s="3" customFormat="1" ht="12.75" customHeight="1">
      <c r="A18" s="57">
        <v>5</v>
      </c>
      <c r="B18" s="56"/>
      <c r="C18" s="170"/>
      <c r="D18" s="171"/>
      <c r="E18" s="55">
        <v>5</v>
      </c>
      <c r="F18" s="54">
        <v>5</v>
      </c>
      <c r="G18" s="54">
        <v>8</v>
      </c>
      <c r="H18" s="54">
        <v>5</v>
      </c>
      <c r="I18" s="54">
        <v>4</v>
      </c>
      <c r="J18" s="54">
        <v>5</v>
      </c>
      <c r="K18" s="54">
        <v>5</v>
      </c>
      <c r="L18" s="54">
        <v>5</v>
      </c>
      <c r="M18" s="54">
        <v>5</v>
      </c>
      <c r="N18" s="53">
        <v>5</v>
      </c>
      <c r="O18" s="52">
        <f t="shared" si="0"/>
        <v>5.2</v>
      </c>
      <c r="P18" s="51">
        <f t="shared" si="1"/>
        <v>4</v>
      </c>
      <c r="Q18" s="50">
        <f t="shared" si="2"/>
        <v>0.62787515014255968</v>
      </c>
      <c r="R18" s="49">
        <f t="shared" si="3"/>
        <v>0.37672509008524019</v>
      </c>
      <c r="S18" s="67">
        <f t="shared" si="4"/>
        <v>1.1301752702557206</v>
      </c>
      <c r="T18" s="66">
        <f t="shared" si="5"/>
        <v>258402.3779724456</v>
      </c>
      <c r="U18" s="63">
        <f t="shared" si="6"/>
        <v>1.0617822134148718</v>
      </c>
      <c r="V18" s="62">
        <f t="shared" si="41"/>
        <v>10</v>
      </c>
      <c r="W18" s="65">
        <f t="shared" si="7"/>
        <v>0</v>
      </c>
      <c r="X18" s="26">
        <f t="shared" si="8"/>
        <v>0</v>
      </c>
      <c r="Y18" s="26">
        <f t="shared" si="9"/>
        <v>0.75</v>
      </c>
      <c r="Z18" s="26">
        <f t="shared" si="10"/>
        <v>0</v>
      </c>
      <c r="AA18" s="26">
        <f t="shared" si="11"/>
        <v>-0.25</v>
      </c>
      <c r="AB18" s="26">
        <f t="shared" si="12"/>
        <v>0</v>
      </c>
      <c r="AC18" s="26">
        <f t="shared" si="13"/>
        <v>0</v>
      </c>
      <c r="AD18" s="26">
        <f t="shared" si="14"/>
        <v>0</v>
      </c>
      <c r="AE18" s="26">
        <f t="shared" si="15"/>
        <v>0</v>
      </c>
      <c r="AF18" s="64">
        <f t="shared" si="16"/>
        <v>0</v>
      </c>
      <c r="AG18" s="65">
        <f t="shared" si="17"/>
        <v>5.0000000000000044E-2</v>
      </c>
      <c r="AH18" s="26">
        <f t="shared" si="18"/>
        <v>0.75</v>
      </c>
      <c r="AI18" s="26">
        <v>0</v>
      </c>
      <c r="AJ18" s="26">
        <f t="shared" si="19"/>
        <v>-0.25</v>
      </c>
      <c r="AK18" s="65">
        <f t="shared" si="20"/>
        <v>-0.38919999999999988</v>
      </c>
      <c r="AL18" s="26">
        <f t="shared" si="21"/>
        <v>-3.499999999999992E-2</v>
      </c>
      <c r="AM18" s="64">
        <f t="shared" si="22"/>
        <v>0.31919999999999993</v>
      </c>
      <c r="AN18" s="65">
        <f t="shared" si="23"/>
        <v>1</v>
      </c>
      <c r="AO18" s="26">
        <v>0</v>
      </c>
      <c r="AP18" s="26">
        <v>1</v>
      </c>
      <c r="AQ18" s="65">
        <f t="shared" si="24"/>
        <v>0.25645000000000001</v>
      </c>
      <c r="AR18" s="26">
        <f t="shared" si="25"/>
        <v>1.1499999999999999</v>
      </c>
      <c r="AS18" s="64">
        <f t="shared" si="26"/>
        <v>2.0435499999999998</v>
      </c>
      <c r="AT18" s="63">
        <f t="shared" si="27"/>
        <v>3.4432000000000005</v>
      </c>
      <c r="AU18" s="25">
        <f t="shared" si="28"/>
        <v>4.8600000000000003</v>
      </c>
      <c r="AV18" s="25">
        <f t="shared" si="29"/>
        <v>6.2767999999999997</v>
      </c>
      <c r="AW18" s="63">
        <f t="shared" si="30"/>
        <v>4</v>
      </c>
      <c r="AX18" s="25">
        <f t="shared" si="31"/>
        <v>5</v>
      </c>
      <c r="AY18" s="62">
        <f t="shared" si="32"/>
        <v>8</v>
      </c>
      <c r="AZ18" s="25">
        <f t="shared" si="33"/>
        <v>1.0258</v>
      </c>
      <c r="BA18" s="25">
        <f t="shared" si="34"/>
        <v>4.5999999999999996</v>
      </c>
      <c r="BB18" s="25">
        <f t="shared" si="35"/>
        <v>8.174199999999999</v>
      </c>
      <c r="BC18" s="25">
        <f t="shared" si="36"/>
        <v>3</v>
      </c>
      <c r="BD18" s="62">
        <f t="shared" si="37"/>
        <v>7</v>
      </c>
      <c r="BE18" s="14">
        <f t="shared" si="38"/>
        <v>0.308</v>
      </c>
      <c r="BF18" s="3">
        <f t="shared" si="39"/>
        <v>0.223</v>
      </c>
      <c r="BG18" s="15">
        <f t="shared" si="40"/>
        <v>1.7769999999999999</v>
      </c>
      <c r="BH18" s="14">
        <f>IF(V18&lt;1,"",(AVERAGE(O$14:O18))-(BE18*(AVERAGE(P$14:P18))))</f>
        <v>3.4432000000000005</v>
      </c>
      <c r="BI18" s="3">
        <f>IF(V18&lt;1,"",(AVERAGE(O$14:O18)))</f>
        <v>4.8600000000000003</v>
      </c>
      <c r="BJ18" s="3">
        <f>IF(V18&lt;1,"",((AVERAGE(O$14:O18))+(BE18*(AVERAGE(P$14:P18)))))</f>
        <v>6.2767999999999997</v>
      </c>
      <c r="BK18" s="61">
        <f>IF(V18&lt;1,"",(BF18*AVERAGE(P$14:P18)))</f>
        <v>1.0258</v>
      </c>
      <c r="BL18" s="24">
        <f>IF(V18&lt;1,"",(AVERAGE(P$14:P18)))</f>
        <v>4.5999999999999996</v>
      </c>
      <c r="BM18" s="60">
        <f>IF(V18&lt;1,"",(BG18*AVERAGE(P$14:P18)))</f>
        <v>8.174199999999999</v>
      </c>
      <c r="BP18" s="59">
        <v>10</v>
      </c>
      <c r="BQ18" s="22">
        <v>0.223</v>
      </c>
      <c r="BR18" s="22">
        <v>1.7769999999999999</v>
      </c>
      <c r="BS18" s="22">
        <v>0.308</v>
      </c>
      <c r="BT18" s="3">
        <v>3.0779999999999998</v>
      </c>
      <c r="BU18" s="58">
        <v>0.97270000000000001</v>
      </c>
      <c r="BV18" s="1"/>
      <c r="BW18" s="1"/>
      <c r="BX18" s="1"/>
    </row>
    <row r="19" spans="1:76" s="3" customFormat="1" ht="12.75" customHeight="1">
      <c r="A19" s="57">
        <v>6</v>
      </c>
      <c r="B19" s="56"/>
      <c r="C19" s="170"/>
      <c r="D19" s="171"/>
      <c r="E19" s="55">
        <v>5</v>
      </c>
      <c r="F19" s="54">
        <v>5</v>
      </c>
      <c r="G19" s="54">
        <v>8</v>
      </c>
      <c r="H19" s="54">
        <v>8</v>
      </c>
      <c r="I19" s="54">
        <v>5</v>
      </c>
      <c r="J19" s="54">
        <v>5</v>
      </c>
      <c r="K19" s="54">
        <v>6</v>
      </c>
      <c r="L19" s="54">
        <v>5</v>
      </c>
      <c r="M19" s="54">
        <v>5</v>
      </c>
      <c r="N19" s="53">
        <v>5</v>
      </c>
      <c r="O19" s="52">
        <f t="shared" si="0"/>
        <v>5.7</v>
      </c>
      <c r="P19" s="51">
        <f t="shared" si="1"/>
        <v>3</v>
      </c>
      <c r="Q19" s="50">
        <f t="shared" si="2"/>
        <v>0.51808301588398731</v>
      </c>
      <c r="R19" s="49">
        <f t="shared" si="3"/>
        <v>0.44037056350110398</v>
      </c>
      <c r="S19" s="67">
        <f t="shared" si="4"/>
        <v>1.321111690503312</v>
      </c>
      <c r="T19" s="66">
        <f t="shared" si="5"/>
        <v>186464.12561158199</v>
      </c>
      <c r="U19" s="63">
        <f t="shared" si="6"/>
        <v>1.2867950622335493</v>
      </c>
      <c r="V19" s="62">
        <f t="shared" si="41"/>
        <v>10</v>
      </c>
      <c r="W19" s="65">
        <f t="shared" si="7"/>
        <v>0</v>
      </c>
      <c r="X19" s="26">
        <f t="shared" si="8"/>
        <v>0</v>
      </c>
      <c r="Y19" s="26">
        <f t="shared" si="9"/>
        <v>0.75</v>
      </c>
      <c r="Z19" s="26">
        <f t="shared" si="10"/>
        <v>0.75</v>
      </c>
      <c r="AA19" s="26">
        <f t="shared" si="11"/>
        <v>0</v>
      </c>
      <c r="AB19" s="26">
        <f t="shared" si="12"/>
        <v>0</v>
      </c>
      <c r="AC19" s="26">
        <f t="shared" si="13"/>
        <v>0.25</v>
      </c>
      <c r="AD19" s="26">
        <f t="shared" si="14"/>
        <v>0</v>
      </c>
      <c r="AE19" s="26">
        <f t="shared" si="15"/>
        <v>0</v>
      </c>
      <c r="AF19" s="64">
        <f t="shared" si="16"/>
        <v>0</v>
      </c>
      <c r="AG19" s="65">
        <f t="shared" si="17"/>
        <v>0.17500000000000004</v>
      </c>
      <c r="AH19" s="26">
        <f t="shared" si="18"/>
        <v>0.75</v>
      </c>
      <c r="AI19" s="26">
        <v>0</v>
      </c>
      <c r="AJ19" s="26">
        <f t="shared" si="19"/>
        <v>-0.25</v>
      </c>
      <c r="AK19" s="65">
        <f t="shared" si="20"/>
        <v>-0.33366666666666667</v>
      </c>
      <c r="AL19" s="26">
        <f t="shared" si="21"/>
        <v>0</v>
      </c>
      <c r="AM19" s="64">
        <f t="shared" si="22"/>
        <v>0.33366666666666678</v>
      </c>
      <c r="AN19" s="65">
        <f t="shared" si="23"/>
        <v>0.75</v>
      </c>
      <c r="AO19" s="26">
        <v>0</v>
      </c>
      <c r="AP19" s="26">
        <v>1</v>
      </c>
      <c r="AQ19" s="65">
        <f t="shared" si="24"/>
        <v>0.24158333333333332</v>
      </c>
      <c r="AR19" s="26">
        <f t="shared" si="25"/>
        <v>1.0833333333333333</v>
      </c>
      <c r="AS19" s="64">
        <f t="shared" si="26"/>
        <v>1.925083333333333</v>
      </c>
      <c r="AT19" s="63">
        <f t="shared" si="27"/>
        <v>3.6653333333333333</v>
      </c>
      <c r="AU19" s="25">
        <f t="shared" si="28"/>
        <v>5</v>
      </c>
      <c r="AV19" s="25">
        <f t="shared" si="29"/>
        <v>6.3346666666666671</v>
      </c>
      <c r="AW19" s="63">
        <f t="shared" si="30"/>
        <v>4</v>
      </c>
      <c r="AX19" s="25">
        <f t="shared" si="31"/>
        <v>5</v>
      </c>
      <c r="AY19" s="62">
        <f t="shared" si="32"/>
        <v>8</v>
      </c>
      <c r="AZ19" s="25">
        <f t="shared" si="33"/>
        <v>0.96633333333333327</v>
      </c>
      <c r="BA19" s="25">
        <f t="shared" si="34"/>
        <v>4.333333333333333</v>
      </c>
      <c r="BB19" s="25">
        <f t="shared" si="35"/>
        <v>7.7003333333333321</v>
      </c>
      <c r="BC19" s="25">
        <f t="shared" si="36"/>
        <v>3</v>
      </c>
      <c r="BD19" s="62">
        <f t="shared" si="37"/>
        <v>7</v>
      </c>
      <c r="BE19" s="14">
        <f t="shared" si="38"/>
        <v>0.308</v>
      </c>
      <c r="BF19" s="3">
        <f t="shared" si="39"/>
        <v>0.223</v>
      </c>
      <c r="BG19" s="15">
        <f t="shared" si="40"/>
        <v>1.7769999999999999</v>
      </c>
      <c r="BH19" s="14">
        <f>IF(V19&lt;1,"",(AVERAGE(O$14:O19))-(BE19*(AVERAGE(P$14:P19))))</f>
        <v>3.6653333333333333</v>
      </c>
      <c r="BI19" s="3">
        <f>IF(V19&lt;1,"",(AVERAGE(O$14:O19)))</f>
        <v>5</v>
      </c>
      <c r="BJ19" s="3">
        <f>IF(V19&lt;1,"",((AVERAGE(O$14:O19))+(BE19*(AVERAGE(P$14:P19)))))</f>
        <v>6.3346666666666671</v>
      </c>
      <c r="BK19" s="61">
        <f>IF(V19&lt;1,"",(BF19*AVERAGE(P$14:P19)))</f>
        <v>0.96633333333333327</v>
      </c>
      <c r="BL19" s="24">
        <f>IF(V19&lt;1,"",(AVERAGE(P$14:P19)))</f>
        <v>4.333333333333333</v>
      </c>
      <c r="BM19" s="60">
        <f>IF(V19&lt;1,"",(BG19*AVERAGE(P$14:P19)))</f>
        <v>7.7003333333333321</v>
      </c>
      <c r="BP19" s="59">
        <v>11</v>
      </c>
      <c r="BQ19" s="22">
        <v>0.25600000000000001</v>
      </c>
      <c r="BR19" s="22">
        <v>1.744</v>
      </c>
      <c r="BS19" s="22">
        <v>0.28499999999999998</v>
      </c>
      <c r="BT19" s="3">
        <v>3.173</v>
      </c>
      <c r="BU19" s="58">
        <v>0.97540000000000004</v>
      </c>
      <c r="BV19" s="1"/>
      <c r="BW19" s="1"/>
      <c r="BX19" s="1"/>
    </row>
    <row r="20" spans="1:76" s="3" customFormat="1" ht="12.75" customHeight="1">
      <c r="A20" s="57">
        <v>7</v>
      </c>
      <c r="B20" s="56"/>
      <c r="C20" s="170"/>
      <c r="D20" s="171"/>
      <c r="E20" s="55">
        <v>5</v>
      </c>
      <c r="F20" s="54">
        <v>6</v>
      </c>
      <c r="G20" s="54">
        <v>8</v>
      </c>
      <c r="H20" s="54">
        <v>5</v>
      </c>
      <c r="I20" s="54">
        <v>5</v>
      </c>
      <c r="J20" s="54">
        <v>5</v>
      </c>
      <c r="K20" s="54">
        <v>6</v>
      </c>
      <c r="L20" s="54">
        <v>5</v>
      </c>
      <c r="M20" s="54">
        <v>5</v>
      </c>
      <c r="N20" s="53">
        <v>5</v>
      </c>
      <c r="O20" s="52">
        <f t="shared" si="0"/>
        <v>5.5</v>
      </c>
      <c r="P20" s="51">
        <f t="shared" si="1"/>
        <v>3</v>
      </c>
      <c r="Q20" s="50">
        <f t="shared" si="2"/>
        <v>0.66726669507236214</v>
      </c>
      <c r="R20" s="49">
        <f t="shared" si="3"/>
        <v>0.50045002130385419</v>
      </c>
      <c r="S20" s="67">
        <f t="shared" si="4"/>
        <v>1.5013500639115627</v>
      </c>
      <c r="T20" s="66">
        <f t="shared" si="5"/>
        <v>133265.04244349201</v>
      </c>
      <c r="U20" s="63">
        <f t="shared" si="6"/>
        <v>0.99910076673953951</v>
      </c>
      <c r="V20" s="62">
        <f t="shared" si="41"/>
        <v>10</v>
      </c>
      <c r="W20" s="65">
        <f t="shared" si="7"/>
        <v>0</v>
      </c>
      <c r="X20" s="26">
        <f t="shared" si="8"/>
        <v>0.25</v>
      </c>
      <c r="Y20" s="26">
        <f t="shared" si="9"/>
        <v>0.75</v>
      </c>
      <c r="Z20" s="26">
        <f t="shared" si="10"/>
        <v>0</v>
      </c>
      <c r="AA20" s="26">
        <f t="shared" si="11"/>
        <v>0</v>
      </c>
      <c r="AB20" s="26">
        <f t="shared" si="12"/>
        <v>0</v>
      </c>
      <c r="AC20" s="26">
        <f t="shared" si="13"/>
        <v>0.25</v>
      </c>
      <c r="AD20" s="26">
        <f t="shared" si="14"/>
        <v>0</v>
      </c>
      <c r="AE20" s="26">
        <f t="shared" si="15"/>
        <v>0</v>
      </c>
      <c r="AF20" s="64">
        <f t="shared" si="16"/>
        <v>0</v>
      </c>
      <c r="AG20" s="65">
        <f t="shared" si="17"/>
        <v>0.125</v>
      </c>
      <c r="AH20" s="26">
        <f t="shared" si="18"/>
        <v>0.75</v>
      </c>
      <c r="AI20" s="26">
        <v>0</v>
      </c>
      <c r="AJ20" s="26">
        <f t="shared" si="19"/>
        <v>-0.25</v>
      </c>
      <c r="AK20" s="65">
        <f t="shared" si="20"/>
        <v>-0.30114285714285716</v>
      </c>
      <c r="AL20" s="26">
        <f t="shared" si="21"/>
        <v>1.7857142857142794E-2</v>
      </c>
      <c r="AM20" s="64">
        <f t="shared" si="22"/>
        <v>0.33685714285714274</v>
      </c>
      <c r="AN20" s="65">
        <f t="shared" si="23"/>
        <v>0.75</v>
      </c>
      <c r="AO20" s="26">
        <v>0</v>
      </c>
      <c r="AP20" s="26">
        <v>1</v>
      </c>
      <c r="AQ20" s="65">
        <f t="shared" si="24"/>
        <v>0.23096428571428573</v>
      </c>
      <c r="AR20" s="26">
        <f t="shared" si="25"/>
        <v>1.0357142857142858</v>
      </c>
      <c r="AS20" s="64">
        <f t="shared" si="26"/>
        <v>1.8404642857142859</v>
      </c>
      <c r="AT20" s="63">
        <f t="shared" si="27"/>
        <v>3.7954285714285714</v>
      </c>
      <c r="AU20" s="25">
        <f t="shared" si="28"/>
        <v>5.0714285714285712</v>
      </c>
      <c r="AV20" s="25">
        <f t="shared" si="29"/>
        <v>6.347428571428571</v>
      </c>
      <c r="AW20" s="63">
        <f t="shared" si="30"/>
        <v>4</v>
      </c>
      <c r="AX20" s="25">
        <f t="shared" si="31"/>
        <v>5</v>
      </c>
      <c r="AY20" s="62">
        <f t="shared" si="32"/>
        <v>8</v>
      </c>
      <c r="AZ20" s="25">
        <f t="shared" si="33"/>
        <v>0.92385714285714293</v>
      </c>
      <c r="BA20" s="25">
        <f t="shared" si="34"/>
        <v>4.1428571428571432</v>
      </c>
      <c r="BB20" s="25">
        <f t="shared" si="35"/>
        <v>7.3618571428571435</v>
      </c>
      <c r="BC20" s="25">
        <f t="shared" si="36"/>
        <v>3</v>
      </c>
      <c r="BD20" s="62">
        <f t="shared" si="37"/>
        <v>7</v>
      </c>
      <c r="BE20" s="14">
        <f t="shared" si="38"/>
        <v>0.308</v>
      </c>
      <c r="BF20" s="3">
        <f t="shared" si="39"/>
        <v>0.223</v>
      </c>
      <c r="BG20" s="15">
        <f t="shared" si="40"/>
        <v>1.7769999999999999</v>
      </c>
      <c r="BH20" s="14">
        <f>IF(V20&lt;1,"",(AVERAGE(O$14:O20))-(BE20*(AVERAGE(P$14:P20))))</f>
        <v>3.7954285714285714</v>
      </c>
      <c r="BI20" s="3">
        <f>IF(V20&lt;1,"",(AVERAGE(O$14:O20)))</f>
        <v>5.0714285714285712</v>
      </c>
      <c r="BJ20" s="3">
        <f>IF(V20&lt;1,"",((AVERAGE(O$14:O20))+(BE20*(AVERAGE(P$14:P20)))))</f>
        <v>6.347428571428571</v>
      </c>
      <c r="BK20" s="61">
        <f>IF(V20&lt;1,"",(BF20*AVERAGE(P$14:P20)))</f>
        <v>0.92385714285714293</v>
      </c>
      <c r="BL20" s="24">
        <f>IF(V20&lt;1,"",(AVERAGE(P$14:P20)))</f>
        <v>4.1428571428571432</v>
      </c>
      <c r="BM20" s="60">
        <f>IF(V20&lt;1,"",(BG20*AVERAGE(P$14:P20)))</f>
        <v>7.3618571428571435</v>
      </c>
      <c r="BP20" s="59">
        <v>12</v>
      </c>
      <c r="BQ20" s="22">
        <v>0.28299999999999997</v>
      </c>
      <c r="BR20" s="22">
        <v>1.7170000000000001</v>
      </c>
      <c r="BS20" s="22">
        <v>0.26600000000000001</v>
      </c>
      <c r="BT20" s="3">
        <v>3.258</v>
      </c>
      <c r="BU20" s="58">
        <v>0.97760000000000002</v>
      </c>
      <c r="BV20" s="1"/>
      <c r="BW20" s="1"/>
      <c r="BX20" s="1"/>
    </row>
    <row r="21" spans="1:76" s="3" customFormat="1" ht="12.75" customHeight="1">
      <c r="A21" s="57">
        <v>8</v>
      </c>
      <c r="B21" s="56"/>
      <c r="C21" s="170"/>
      <c r="D21" s="171"/>
      <c r="E21" s="55">
        <v>5</v>
      </c>
      <c r="F21" s="54">
        <v>5</v>
      </c>
      <c r="G21" s="54">
        <v>8</v>
      </c>
      <c r="H21" s="54">
        <v>5</v>
      </c>
      <c r="I21" s="54">
        <v>6</v>
      </c>
      <c r="J21" s="54">
        <v>10</v>
      </c>
      <c r="K21" s="54">
        <v>5</v>
      </c>
      <c r="L21" s="54">
        <v>8</v>
      </c>
      <c r="M21" s="54">
        <v>8</v>
      </c>
      <c r="N21" s="53">
        <v>5</v>
      </c>
      <c r="O21" s="52">
        <f t="shared" si="0"/>
        <v>6.5</v>
      </c>
      <c r="P21" s="51">
        <f t="shared" si="1"/>
        <v>5</v>
      </c>
      <c r="Q21" s="50">
        <f t="shared" si="2"/>
        <v>0.35225648070220011</v>
      </c>
      <c r="R21" s="49">
        <f t="shared" si="3"/>
        <v>0.26419236052653372</v>
      </c>
      <c r="S21" s="67">
        <f t="shared" si="4"/>
        <v>0.79257708157960116</v>
      </c>
      <c r="T21" s="66">
        <f t="shared" si="5"/>
        <v>428024.265875004</v>
      </c>
      <c r="U21" s="63">
        <f t="shared" si="6"/>
        <v>1.8925604018346287</v>
      </c>
      <c r="V21" s="62">
        <f t="shared" si="41"/>
        <v>10</v>
      </c>
      <c r="W21" s="65">
        <f t="shared" si="7"/>
        <v>0</v>
      </c>
      <c r="X21" s="26">
        <f t="shared" si="8"/>
        <v>0</v>
      </c>
      <c r="Y21" s="26">
        <f t="shared" si="9"/>
        <v>0.75</v>
      </c>
      <c r="Z21" s="26">
        <f t="shared" si="10"/>
        <v>0</v>
      </c>
      <c r="AA21" s="26">
        <f t="shared" si="11"/>
        <v>0.25</v>
      </c>
      <c r="AB21" s="26">
        <f t="shared" si="12"/>
        <v>1.25</v>
      </c>
      <c r="AC21" s="26">
        <f t="shared" si="13"/>
        <v>0</v>
      </c>
      <c r="AD21" s="26">
        <f t="shared" si="14"/>
        <v>0.75</v>
      </c>
      <c r="AE21" s="26">
        <f t="shared" si="15"/>
        <v>0.75</v>
      </c>
      <c r="AF21" s="64">
        <f t="shared" si="16"/>
        <v>0</v>
      </c>
      <c r="AG21" s="65">
        <f t="shared" si="17"/>
        <v>0.375</v>
      </c>
      <c r="AH21" s="26">
        <f t="shared" si="18"/>
        <v>0.75</v>
      </c>
      <c r="AI21" s="26">
        <v>0</v>
      </c>
      <c r="AJ21" s="26">
        <f t="shared" si="19"/>
        <v>-0.25</v>
      </c>
      <c r="AK21" s="65">
        <f t="shared" si="20"/>
        <v>-0.26475000000000004</v>
      </c>
      <c r="AL21" s="26">
        <f t="shared" si="21"/>
        <v>6.25E-2</v>
      </c>
      <c r="AM21" s="64">
        <f t="shared" si="22"/>
        <v>0.38975000000000004</v>
      </c>
      <c r="AN21" s="65">
        <f t="shared" si="23"/>
        <v>1.25</v>
      </c>
      <c r="AO21" s="26">
        <v>0</v>
      </c>
      <c r="AP21" s="26">
        <v>1</v>
      </c>
      <c r="AQ21" s="65">
        <f t="shared" si="24"/>
        <v>0.2369375</v>
      </c>
      <c r="AR21" s="26">
        <f t="shared" si="25"/>
        <v>1.0625</v>
      </c>
      <c r="AS21" s="64">
        <f t="shared" si="26"/>
        <v>1.8880625</v>
      </c>
      <c r="AT21" s="63">
        <f t="shared" si="27"/>
        <v>3.9409999999999998</v>
      </c>
      <c r="AU21" s="25">
        <f t="shared" si="28"/>
        <v>5.25</v>
      </c>
      <c r="AV21" s="25">
        <f t="shared" si="29"/>
        <v>6.5590000000000002</v>
      </c>
      <c r="AW21" s="63">
        <f t="shared" si="30"/>
        <v>4</v>
      </c>
      <c r="AX21" s="25">
        <f t="shared" si="31"/>
        <v>5</v>
      </c>
      <c r="AY21" s="62">
        <f t="shared" si="32"/>
        <v>8</v>
      </c>
      <c r="AZ21" s="25">
        <f t="shared" si="33"/>
        <v>0.94774999999999998</v>
      </c>
      <c r="BA21" s="25">
        <f t="shared" si="34"/>
        <v>4.25</v>
      </c>
      <c r="BB21" s="25">
        <f t="shared" si="35"/>
        <v>7.5522499999999999</v>
      </c>
      <c r="BC21" s="25">
        <f t="shared" si="36"/>
        <v>3</v>
      </c>
      <c r="BD21" s="62">
        <f t="shared" si="37"/>
        <v>7</v>
      </c>
      <c r="BE21" s="14">
        <f t="shared" si="38"/>
        <v>0.308</v>
      </c>
      <c r="BF21" s="3">
        <f t="shared" si="39"/>
        <v>0.223</v>
      </c>
      <c r="BG21" s="15">
        <f t="shared" si="40"/>
        <v>1.7769999999999999</v>
      </c>
      <c r="BH21" s="14">
        <f>IF(V21&lt;1,"",(AVERAGE(O$14:O21))-(BE21*(AVERAGE(P$14:P21))))</f>
        <v>3.9409999999999998</v>
      </c>
      <c r="BI21" s="3">
        <f>IF(V21&lt;1,"",(AVERAGE(O$14:O21)))</f>
        <v>5.25</v>
      </c>
      <c r="BJ21" s="3">
        <f>IF(V21&lt;1,"",((AVERAGE(O$14:O21))+(BE21*(AVERAGE(P$14:P21)))))</f>
        <v>6.5590000000000002</v>
      </c>
      <c r="BK21" s="61">
        <f>IF(V21&lt;1,"",(BF21*AVERAGE(P$14:P21)))</f>
        <v>0.94774999999999998</v>
      </c>
      <c r="BL21" s="24">
        <f>IF(V21&lt;1,"",(AVERAGE(P$14:P21)))</f>
        <v>4.25</v>
      </c>
      <c r="BM21" s="60">
        <f>IF(V21&lt;1,"",(BG21*AVERAGE(P$14:P21)))</f>
        <v>7.5522499999999999</v>
      </c>
      <c r="BP21" s="59">
        <v>13</v>
      </c>
      <c r="BQ21" s="22">
        <v>0.307</v>
      </c>
      <c r="BR21" s="22">
        <v>1.6930000000000001</v>
      </c>
      <c r="BS21" s="22">
        <v>0.249</v>
      </c>
      <c r="BT21" s="3">
        <v>3.3359999999999999</v>
      </c>
      <c r="BU21" s="58">
        <v>0.97940000000000005</v>
      </c>
      <c r="BV21" s="1"/>
      <c r="BW21" s="1"/>
      <c r="BX21" s="1"/>
    </row>
    <row r="22" spans="1:76" s="3" customFormat="1" ht="12.75" customHeight="1">
      <c r="A22" s="57">
        <v>9</v>
      </c>
      <c r="B22" s="56"/>
      <c r="C22" s="170"/>
      <c r="D22" s="171"/>
      <c r="E22" s="55">
        <v>5</v>
      </c>
      <c r="F22" s="54">
        <v>5</v>
      </c>
      <c r="G22" s="54">
        <v>8</v>
      </c>
      <c r="H22" s="54">
        <v>8</v>
      </c>
      <c r="I22" s="54">
        <v>5</v>
      </c>
      <c r="J22" s="54">
        <v>5</v>
      </c>
      <c r="K22" s="54">
        <v>5</v>
      </c>
      <c r="L22" s="54">
        <v>5</v>
      </c>
      <c r="M22" s="54">
        <v>5</v>
      </c>
      <c r="N22" s="53">
        <v>5</v>
      </c>
      <c r="O22" s="52">
        <f t="shared" si="0"/>
        <v>5.6</v>
      </c>
      <c r="P22" s="51">
        <f t="shared" si="1"/>
        <v>3</v>
      </c>
      <c r="Q22" s="50">
        <f t="shared" si="2"/>
        <v>0.5126579133408985</v>
      </c>
      <c r="R22" s="49">
        <f t="shared" si="3"/>
        <v>0.41012633067245585</v>
      </c>
      <c r="S22" s="67">
        <f t="shared" si="4"/>
        <v>1.2303789920173676</v>
      </c>
      <c r="T22" s="66">
        <f t="shared" si="5"/>
        <v>218555.21647099653</v>
      </c>
      <c r="U22" s="63">
        <f t="shared" si="6"/>
        <v>1.3004123204146711</v>
      </c>
      <c r="V22" s="62">
        <f t="shared" si="41"/>
        <v>10</v>
      </c>
      <c r="W22" s="65">
        <f t="shared" si="7"/>
        <v>0</v>
      </c>
      <c r="X22" s="26">
        <f t="shared" si="8"/>
        <v>0</v>
      </c>
      <c r="Y22" s="26">
        <f t="shared" si="9"/>
        <v>0.75</v>
      </c>
      <c r="Z22" s="26">
        <f t="shared" si="10"/>
        <v>0.75</v>
      </c>
      <c r="AA22" s="26">
        <f t="shared" si="11"/>
        <v>0</v>
      </c>
      <c r="AB22" s="26">
        <f t="shared" si="12"/>
        <v>0</v>
      </c>
      <c r="AC22" s="26">
        <f t="shared" si="13"/>
        <v>0</v>
      </c>
      <c r="AD22" s="26">
        <f t="shared" si="14"/>
        <v>0</v>
      </c>
      <c r="AE22" s="26">
        <f t="shared" si="15"/>
        <v>0</v>
      </c>
      <c r="AF22" s="64">
        <f t="shared" si="16"/>
        <v>0</v>
      </c>
      <c r="AG22" s="65">
        <f t="shared" si="17"/>
        <v>0.14999999999999991</v>
      </c>
      <c r="AH22" s="26">
        <f t="shared" si="18"/>
        <v>0.75</v>
      </c>
      <c r="AI22" s="26">
        <v>0</v>
      </c>
      <c r="AJ22" s="26">
        <f t="shared" si="19"/>
        <v>-0.25</v>
      </c>
      <c r="AK22" s="65">
        <f t="shared" si="20"/>
        <v>-0.24433333333333329</v>
      </c>
      <c r="AL22" s="26">
        <f t="shared" si="21"/>
        <v>7.2222222222222188E-2</v>
      </c>
      <c r="AM22" s="64">
        <f t="shared" si="22"/>
        <v>0.38877777777777767</v>
      </c>
      <c r="AN22" s="65">
        <f t="shared" si="23"/>
        <v>0.75</v>
      </c>
      <c r="AO22" s="26">
        <v>0</v>
      </c>
      <c r="AP22" s="26">
        <v>1</v>
      </c>
      <c r="AQ22" s="65">
        <f t="shared" si="24"/>
        <v>0.22919444444444442</v>
      </c>
      <c r="AR22" s="26">
        <f t="shared" si="25"/>
        <v>1.0277777777777777</v>
      </c>
      <c r="AS22" s="64">
        <f t="shared" si="26"/>
        <v>1.8263611111111109</v>
      </c>
      <c r="AT22" s="63">
        <f t="shared" si="27"/>
        <v>4.0226666666666668</v>
      </c>
      <c r="AU22" s="25">
        <f t="shared" si="28"/>
        <v>5.2888888888888888</v>
      </c>
      <c r="AV22" s="25">
        <f t="shared" si="29"/>
        <v>6.5551111111111107</v>
      </c>
      <c r="AW22" s="63">
        <f t="shared" si="30"/>
        <v>4</v>
      </c>
      <c r="AX22" s="25">
        <f t="shared" si="31"/>
        <v>5</v>
      </c>
      <c r="AY22" s="62">
        <f t="shared" si="32"/>
        <v>8</v>
      </c>
      <c r="AZ22" s="25">
        <f t="shared" si="33"/>
        <v>0.91677777777777769</v>
      </c>
      <c r="BA22" s="25">
        <f t="shared" si="34"/>
        <v>4.1111111111111107</v>
      </c>
      <c r="BB22" s="25">
        <f t="shared" si="35"/>
        <v>7.3054444444444435</v>
      </c>
      <c r="BC22" s="25">
        <f t="shared" si="36"/>
        <v>3</v>
      </c>
      <c r="BD22" s="62">
        <f t="shared" si="37"/>
        <v>7</v>
      </c>
      <c r="BE22" s="14">
        <f t="shared" si="38"/>
        <v>0.308</v>
      </c>
      <c r="BF22" s="3">
        <f t="shared" si="39"/>
        <v>0.223</v>
      </c>
      <c r="BG22" s="15">
        <f t="shared" si="40"/>
        <v>1.7769999999999999</v>
      </c>
      <c r="BH22" s="14">
        <f>IF(V22&lt;1,"",(AVERAGE(O$14:O22))-(BE22*(AVERAGE(P$14:P22))))</f>
        <v>4.0226666666666668</v>
      </c>
      <c r="BI22" s="3">
        <f>IF(V22&lt;1,"",(AVERAGE(O$14:O22)))</f>
        <v>5.2888888888888888</v>
      </c>
      <c r="BJ22" s="3">
        <f>IF(V22&lt;1,"",((AVERAGE(O$14:O22))+(BE22*(AVERAGE(P$14:P22)))))</f>
        <v>6.5551111111111107</v>
      </c>
      <c r="BK22" s="61">
        <f>IF(V22&lt;1,"",(BF22*AVERAGE(P$14:P22)))</f>
        <v>0.91677777777777769</v>
      </c>
      <c r="BL22" s="24">
        <f>IF(V22&lt;1,"",(AVERAGE(P$14:P22)))</f>
        <v>4.1111111111111107</v>
      </c>
      <c r="BM22" s="60">
        <f>IF(V22&lt;1,"",(BG22*AVERAGE(P$14:P22)))</f>
        <v>7.3054444444444435</v>
      </c>
      <c r="BP22" s="59">
        <v>14</v>
      </c>
      <c r="BQ22" s="22">
        <v>0.32800000000000001</v>
      </c>
      <c r="BR22" s="22">
        <v>1.6719999999999999</v>
      </c>
      <c r="BS22" s="22">
        <v>0.23499999999999999</v>
      </c>
      <c r="BT22" s="3">
        <v>3.407</v>
      </c>
      <c r="BU22" s="58">
        <v>0.98099999999999998</v>
      </c>
      <c r="BV22" s="1"/>
      <c r="BW22" s="1"/>
      <c r="BX22" s="1"/>
    </row>
    <row r="23" spans="1:76" s="3" customFormat="1" ht="12.75" customHeight="1">
      <c r="A23" s="57">
        <v>10</v>
      </c>
      <c r="B23" s="56"/>
      <c r="C23" s="170"/>
      <c r="D23" s="171"/>
      <c r="E23" s="55">
        <v>6</v>
      </c>
      <c r="F23" s="54">
        <v>5</v>
      </c>
      <c r="G23" s="54">
        <v>8</v>
      </c>
      <c r="H23" s="54">
        <v>5</v>
      </c>
      <c r="I23" s="54">
        <v>5</v>
      </c>
      <c r="J23" s="54">
        <v>5</v>
      </c>
      <c r="K23" s="54">
        <v>8</v>
      </c>
      <c r="L23" s="54">
        <v>5</v>
      </c>
      <c r="M23" s="54">
        <v>8</v>
      </c>
      <c r="N23" s="53">
        <v>8</v>
      </c>
      <c r="O23" s="52">
        <f t="shared" si="0"/>
        <v>6.3</v>
      </c>
      <c r="P23" s="51">
        <f t="shared" si="1"/>
        <v>3</v>
      </c>
      <c r="Q23" s="50">
        <f t="shared" si="2"/>
        <v>0.43392121393227179</v>
      </c>
      <c r="R23" s="49">
        <f t="shared" si="3"/>
        <v>0.36883303184223104</v>
      </c>
      <c r="S23" s="67">
        <f t="shared" si="4"/>
        <v>1.1064990955266931</v>
      </c>
      <c r="T23" s="66">
        <f t="shared" si="5"/>
        <v>268510.55528688763</v>
      </c>
      <c r="U23" s="63">
        <f t="shared" si="6"/>
        <v>1.536377216096769</v>
      </c>
      <c r="V23" s="62">
        <f t="shared" si="41"/>
        <v>10</v>
      </c>
      <c r="W23" s="65">
        <f t="shared" si="7"/>
        <v>0.25</v>
      </c>
      <c r="X23" s="26">
        <f t="shared" si="8"/>
        <v>0</v>
      </c>
      <c r="Y23" s="26">
        <f t="shared" si="9"/>
        <v>0.75</v>
      </c>
      <c r="Z23" s="26">
        <f t="shared" si="10"/>
        <v>0</v>
      </c>
      <c r="AA23" s="26">
        <f t="shared" si="11"/>
        <v>0</v>
      </c>
      <c r="AB23" s="26">
        <f t="shared" si="12"/>
        <v>0</v>
      </c>
      <c r="AC23" s="26">
        <f t="shared" si="13"/>
        <v>0.75</v>
      </c>
      <c r="AD23" s="26">
        <f t="shared" si="14"/>
        <v>0</v>
      </c>
      <c r="AE23" s="26">
        <f t="shared" si="15"/>
        <v>0.75</v>
      </c>
      <c r="AF23" s="64">
        <f t="shared" si="16"/>
        <v>0.75</v>
      </c>
      <c r="AG23" s="65">
        <f t="shared" si="17"/>
        <v>0.32499999999999996</v>
      </c>
      <c r="AH23" s="26">
        <f t="shared" si="18"/>
        <v>0.75</v>
      </c>
      <c r="AI23" s="26">
        <v>0</v>
      </c>
      <c r="AJ23" s="26">
        <f t="shared" si="19"/>
        <v>-0.25</v>
      </c>
      <c r="AK23" s="65">
        <f t="shared" si="20"/>
        <v>-0.21050000000000013</v>
      </c>
      <c r="AL23" s="26">
        <f t="shared" si="21"/>
        <v>9.749999999999992E-2</v>
      </c>
      <c r="AM23" s="64">
        <f t="shared" si="22"/>
        <v>0.40549999999999997</v>
      </c>
      <c r="AN23" s="65">
        <f t="shared" si="23"/>
        <v>0.75</v>
      </c>
      <c r="AO23" s="26">
        <v>0</v>
      </c>
      <c r="AP23" s="26">
        <v>1</v>
      </c>
      <c r="AQ23" s="65">
        <f t="shared" si="24"/>
        <v>0.223</v>
      </c>
      <c r="AR23" s="26">
        <f t="shared" si="25"/>
        <v>1</v>
      </c>
      <c r="AS23" s="64">
        <f t="shared" si="26"/>
        <v>1.7769999999999999</v>
      </c>
      <c r="AT23" s="63">
        <f t="shared" si="27"/>
        <v>4.1579999999999995</v>
      </c>
      <c r="AU23" s="25">
        <f t="shared" si="28"/>
        <v>5.39</v>
      </c>
      <c r="AV23" s="25">
        <f t="shared" si="29"/>
        <v>6.6219999999999999</v>
      </c>
      <c r="AW23" s="63">
        <f t="shared" si="30"/>
        <v>4</v>
      </c>
      <c r="AX23" s="25">
        <f t="shared" si="31"/>
        <v>5</v>
      </c>
      <c r="AY23" s="62">
        <f t="shared" si="32"/>
        <v>8</v>
      </c>
      <c r="AZ23" s="25">
        <f t="shared" si="33"/>
        <v>0.89200000000000002</v>
      </c>
      <c r="BA23" s="25">
        <f t="shared" si="34"/>
        <v>4</v>
      </c>
      <c r="BB23" s="25">
        <f t="shared" si="35"/>
        <v>7.1079999999999997</v>
      </c>
      <c r="BC23" s="25">
        <f t="shared" si="36"/>
        <v>3</v>
      </c>
      <c r="BD23" s="62">
        <f t="shared" si="37"/>
        <v>7</v>
      </c>
      <c r="BE23" s="14">
        <f t="shared" si="38"/>
        <v>0.308</v>
      </c>
      <c r="BF23" s="3">
        <f t="shared" si="39"/>
        <v>0.223</v>
      </c>
      <c r="BG23" s="15">
        <f t="shared" si="40"/>
        <v>1.7769999999999999</v>
      </c>
      <c r="BH23" s="14">
        <f>IF(V23&lt;1,"",(AVERAGE(O$14:O23))-(BE23*(AVERAGE(P$14:P23))))</f>
        <v>4.1579999999999995</v>
      </c>
      <c r="BI23" s="3">
        <f>IF(V23&lt;1,"",(AVERAGE(O$14:O23)))</f>
        <v>5.39</v>
      </c>
      <c r="BJ23" s="3">
        <f>IF(V23&lt;1,"",((AVERAGE(O$14:O23))+(BE23*(AVERAGE(P$14:P23)))))</f>
        <v>6.6219999999999999</v>
      </c>
      <c r="BK23" s="61">
        <f>IF(V23&lt;1,"",(BF23*AVERAGE(P$14:P23)))</f>
        <v>0.89200000000000002</v>
      </c>
      <c r="BL23" s="24">
        <f>IF(V23&lt;1,"",(AVERAGE(P$14:P23)))</f>
        <v>4</v>
      </c>
      <c r="BM23" s="60">
        <f>IF(V23&lt;1,"",(BG23*AVERAGE(P$14:P23)))</f>
        <v>7.1079999999999997</v>
      </c>
      <c r="BP23" s="59">
        <v>15</v>
      </c>
      <c r="BQ23" s="22">
        <v>0.34699999999999998</v>
      </c>
      <c r="BR23" s="22">
        <v>1.653</v>
      </c>
      <c r="BS23" s="22">
        <v>0.223</v>
      </c>
      <c r="BT23" s="3">
        <v>3.472</v>
      </c>
      <c r="BU23" s="58">
        <v>0.98229999999999995</v>
      </c>
      <c r="BV23" s="1"/>
      <c r="BW23" s="1"/>
      <c r="BX23" s="1"/>
    </row>
    <row r="24" spans="1:76" s="3" customFormat="1" ht="12.75" customHeight="1">
      <c r="A24" s="57">
        <v>11</v>
      </c>
      <c r="B24" s="56"/>
      <c r="C24" s="170"/>
      <c r="D24" s="171"/>
      <c r="E24" s="55">
        <v>6</v>
      </c>
      <c r="F24" s="54">
        <v>5</v>
      </c>
      <c r="G24" s="54">
        <v>8</v>
      </c>
      <c r="H24" s="54">
        <v>5</v>
      </c>
      <c r="I24" s="54">
        <v>8</v>
      </c>
      <c r="J24" s="54">
        <v>5</v>
      </c>
      <c r="K24" s="54">
        <v>8</v>
      </c>
      <c r="L24" s="54">
        <v>5</v>
      </c>
      <c r="M24" s="54">
        <v>8</v>
      </c>
      <c r="N24" s="53">
        <v>5</v>
      </c>
      <c r="O24" s="52">
        <f t="shared" si="0"/>
        <v>6.3</v>
      </c>
      <c r="P24" s="51">
        <f t="shared" si="1"/>
        <v>3</v>
      </c>
      <c r="Q24" s="50">
        <f t="shared" si="2"/>
        <v>0.43392121393227179</v>
      </c>
      <c r="R24" s="49">
        <f t="shared" si="3"/>
        <v>0.36883303184223104</v>
      </c>
      <c r="S24" s="67">
        <f t="shared" si="4"/>
        <v>1.1064990955266931</v>
      </c>
      <c r="T24" s="66">
        <f t="shared" si="5"/>
        <v>268510.55528688763</v>
      </c>
      <c r="U24" s="63">
        <f t="shared" si="6"/>
        <v>1.536377216096769</v>
      </c>
      <c r="V24" s="62">
        <f t="shared" si="41"/>
        <v>10</v>
      </c>
      <c r="W24" s="65">
        <f t="shared" si="7"/>
        <v>0.25</v>
      </c>
      <c r="X24" s="26">
        <f t="shared" si="8"/>
        <v>0</v>
      </c>
      <c r="Y24" s="26">
        <f t="shared" si="9"/>
        <v>0.75</v>
      </c>
      <c r="Z24" s="26">
        <f t="shared" si="10"/>
        <v>0</v>
      </c>
      <c r="AA24" s="26">
        <f t="shared" si="11"/>
        <v>0.75</v>
      </c>
      <c r="AB24" s="26">
        <f t="shared" si="12"/>
        <v>0</v>
      </c>
      <c r="AC24" s="26">
        <f t="shared" si="13"/>
        <v>0.75</v>
      </c>
      <c r="AD24" s="26">
        <f t="shared" si="14"/>
        <v>0</v>
      </c>
      <c r="AE24" s="26">
        <f t="shared" si="15"/>
        <v>0.75</v>
      </c>
      <c r="AF24" s="64">
        <f t="shared" si="16"/>
        <v>0</v>
      </c>
      <c r="AG24" s="65">
        <f t="shared" si="17"/>
        <v>0.32499999999999996</v>
      </c>
      <c r="AH24" s="26">
        <f t="shared" si="18"/>
        <v>0.75</v>
      </c>
      <c r="AI24" s="26">
        <v>0</v>
      </c>
      <c r="AJ24" s="26">
        <f t="shared" si="19"/>
        <v>-0.25</v>
      </c>
      <c r="AK24" s="65">
        <f t="shared" si="20"/>
        <v>-0.18281818181818177</v>
      </c>
      <c r="AL24" s="26">
        <f t="shared" si="21"/>
        <v>0.11818181818181817</v>
      </c>
      <c r="AM24" s="64">
        <f t="shared" si="22"/>
        <v>0.4191818181818181</v>
      </c>
      <c r="AN24" s="65">
        <f t="shared" si="23"/>
        <v>0.75</v>
      </c>
      <c r="AO24" s="26">
        <v>0</v>
      </c>
      <c r="AP24" s="26">
        <v>1</v>
      </c>
      <c r="AQ24" s="65">
        <f t="shared" si="24"/>
        <v>0.2179318181818182</v>
      </c>
      <c r="AR24" s="26">
        <f t="shared" si="25"/>
        <v>0.97727272727272729</v>
      </c>
      <c r="AS24" s="64">
        <f t="shared" si="26"/>
        <v>1.7366136363636364</v>
      </c>
      <c r="AT24" s="63">
        <f t="shared" si="27"/>
        <v>4.2687272727272729</v>
      </c>
      <c r="AU24" s="25">
        <f t="shared" si="28"/>
        <v>5.4727272727272727</v>
      </c>
      <c r="AV24" s="25">
        <f t="shared" si="29"/>
        <v>6.6767272727272724</v>
      </c>
      <c r="AW24" s="63">
        <f t="shared" si="30"/>
        <v>4</v>
      </c>
      <c r="AX24" s="25">
        <f t="shared" si="31"/>
        <v>5</v>
      </c>
      <c r="AY24" s="62">
        <f t="shared" si="32"/>
        <v>8</v>
      </c>
      <c r="AZ24" s="25">
        <f t="shared" si="33"/>
        <v>0.8717272727272728</v>
      </c>
      <c r="BA24" s="25">
        <f t="shared" si="34"/>
        <v>3.9090909090909092</v>
      </c>
      <c r="BB24" s="25">
        <f t="shared" si="35"/>
        <v>6.9464545454545457</v>
      </c>
      <c r="BC24" s="25">
        <f t="shared" si="36"/>
        <v>3</v>
      </c>
      <c r="BD24" s="62">
        <f t="shared" si="37"/>
        <v>7</v>
      </c>
      <c r="BE24" s="14">
        <f t="shared" si="38"/>
        <v>0.308</v>
      </c>
      <c r="BF24" s="3">
        <f t="shared" si="39"/>
        <v>0.223</v>
      </c>
      <c r="BG24" s="15">
        <f t="shared" si="40"/>
        <v>1.7769999999999999</v>
      </c>
      <c r="BH24" s="14">
        <f>IF(V24&lt;1,"",(AVERAGE(O$14:O24))-(BE24*(AVERAGE(P$14:P24))))</f>
        <v>4.2687272727272729</v>
      </c>
      <c r="BI24" s="3">
        <f>IF(V24&lt;1,"",(AVERAGE(O$14:O24)))</f>
        <v>5.4727272727272727</v>
      </c>
      <c r="BJ24" s="3">
        <f>IF(V24&lt;1,"",((AVERAGE(O$14:O24))+(BE24*(AVERAGE(P$14:P24)))))</f>
        <v>6.6767272727272724</v>
      </c>
      <c r="BK24" s="61">
        <f>IF(V24&lt;1,"",(BF24*AVERAGE(P$14:P24)))</f>
        <v>0.8717272727272728</v>
      </c>
      <c r="BL24" s="24">
        <f>IF(V24&lt;1,"",(AVERAGE(P$14:P24)))</f>
        <v>3.9090909090909092</v>
      </c>
      <c r="BM24" s="60">
        <f>IF(V24&lt;1,"",(BG24*AVERAGE(P$14:P24)))</f>
        <v>6.9464545454545457</v>
      </c>
      <c r="BP24" s="59">
        <v>16</v>
      </c>
      <c r="BQ24" s="22">
        <v>0.36299999999999999</v>
      </c>
      <c r="BR24" s="22">
        <v>1.637</v>
      </c>
      <c r="BS24" s="22">
        <v>0.21199999999999999</v>
      </c>
      <c r="BT24" s="3">
        <v>3.532</v>
      </c>
      <c r="BU24" s="58">
        <v>0.98350000000000004</v>
      </c>
      <c r="BV24" s="1"/>
      <c r="BW24" s="1"/>
      <c r="BX24" s="1"/>
    </row>
    <row r="25" spans="1:76" s="3" customFormat="1" ht="12.75" customHeight="1">
      <c r="A25" s="57">
        <v>12</v>
      </c>
      <c r="B25" s="56"/>
      <c r="C25" s="170"/>
      <c r="D25" s="171"/>
      <c r="E25" s="55">
        <v>6</v>
      </c>
      <c r="F25" s="54">
        <v>5</v>
      </c>
      <c r="G25" s="54">
        <v>5</v>
      </c>
      <c r="H25" s="54">
        <v>4</v>
      </c>
      <c r="I25" s="54">
        <v>5</v>
      </c>
      <c r="J25" s="54">
        <v>2</v>
      </c>
      <c r="K25" s="54">
        <v>2</v>
      </c>
      <c r="L25" s="54">
        <v>2</v>
      </c>
      <c r="M25" s="54">
        <v>2</v>
      </c>
      <c r="N25" s="53">
        <v>5</v>
      </c>
      <c r="O25" s="52">
        <f t="shared" si="0"/>
        <v>3.8</v>
      </c>
      <c r="P25" s="51">
        <f t="shared" si="1"/>
        <v>4</v>
      </c>
      <c r="Q25" s="50">
        <f t="shared" si="2"/>
        <v>0.40045425266132983</v>
      </c>
      <c r="R25" s="49">
        <f t="shared" si="3"/>
        <v>-4.0045425266112968E-2</v>
      </c>
      <c r="S25" s="67">
        <f t="shared" si="4"/>
        <v>-0.12013627579833891</v>
      </c>
      <c r="T25" s="66">
        <f t="shared" si="5"/>
        <v>1095624.8034522983</v>
      </c>
      <c r="U25" s="63">
        <f t="shared" si="6"/>
        <v>1.6647760942381848</v>
      </c>
      <c r="V25" s="62">
        <f t="shared" si="41"/>
        <v>10</v>
      </c>
      <c r="W25" s="65">
        <f t="shared" si="7"/>
        <v>0.25</v>
      </c>
      <c r="X25" s="26">
        <f t="shared" si="8"/>
        <v>0</v>
      </c>
      <c r="Y25" s="26">
        <f t="shared" si="9"/>
        <v>0</v>
      </c>
      <c r="Z25" s="26">
        <f t="shared" si="10"/>
        <v>-0.25</v>
      </c>
      <c r="AA25" s="26">
        <f t="shared" si="11"/>
        <v>0</v>
      </c>
      <c r="AB25" s="26">
        <f t="shared" si="12"/>
        <v>-0.75</v>
      </c>
      <c r="AC25" s="26">
        <f t="shared" si="13"/>
        <v>-0.75</v>
      </c>
      <c r="AD25" s="26">
        <f t="shared" si="14"/>
        <v>-0.75</v>
      </c>
      <c r="AE25" s="26">
        <f t="shared" si="15"/>
        <v>-0.75</v>
      </c>
      <c r="AF25" s="64">
        <f t="shared" si="16"/>
        <v>0</v>
      </c>
      <c r="AG25" s="65">
        <f t="shared" si="17"/>
        <v>-0.30000000000000004</v>
      </c>
      <c r="AH25" s="26">
        <f t="shared" si="18"/>
        <v>0.75</v>
      </c>
      <c r="AI25" s="26">
        <v>0</v>
      </c>
      <c r="AJ25" s="26">
        <f t="shared" si="19"/>
        <v>-0.25</v>
      </c>
      <c r="AK25" s="65">
        <f t="shared" si="20"/>
        <v>-0.21825000000000006</v>
      </c>
      <c r="AL25" s="26">
        <f t="shared" si="21"/>
        <v>8.3333333333333259E-2</v>
      </c>
      <c r="AM25" s="64">
        <f t="shared" si="22"/>
        <v>0.38491666666666657</v>
      </c>
      <c r="AN25" s="65">
        <f t="shared" si="23"/>
        <v>1</v>
      </c>
      <c r="AO25" s="26">
        <v>0</v>
      </c>
      <c r="AP25" s="26">
        <v>1</v>
      </c>
      <c r="AQ25" s="65">
        <f t="shared" si="24"/>
        <v>0.21835416666666665</v>
      </c>
      <c r="AR25" s="26">
        <f t="shared" si="25"/>
        <v>0.97916666666666663</v>
      </c>
      <c r="AS25" s="64">
        <f t="shared" si="26"/>
        <v>1.7399791666666664</v>
      </c>
      <c r="AT25" s="63">
        <f t="shared" si="27"/>
        <v>4.1269999999999998</v>
      </c>
      <c r="AU25" s="25">
        <f t="shared" si="28"/>
        <v>5.333333333333333</v>
      </c>
      <c r="AV25" s="25">
        <f t="shared" si="29"/>
        <v>6.5396666666666663</v>
      </c>
      <c r="AW25" s="63">
        <f t="shared" si="30"/>
        <v>4</v>
      </c>
      <c r="AX25" s="25">
        <f t="shared" si="31"/>
        <v>5</v>
      </c>
      <c r="AY25" s="62">
        <f t="shared" si="32"/>
        <v>8</v>
      </c>
      <c r="AZ25" s="25">
        <f t="shared" si="33"/>
        <v>0.87341666666666662</v>
      </c>
      <c r="BA25" s="25">
        <f t="shared" si="34"/>
        <v>3.9166666666666665</v>
      </c>
      <c r="BB25" s="25">
        <f t="shared" si="35"/>
        <v>6.9599166666666656</v>
      </c>
      <c r="BC25" s="25">
        <f t="shared" si="36"/>
        <v>3</v>
      </c>
      <c r="BD25" s="62">
        <f t="shared" si="37"/>
        <v>7</v>
      </c>
      <c r="BE25" s="14">
        <f t="shared" si="38"/>
        <v>0.308</v>
      </c>
      <c r="BF25" s="3">
        <f t="shared" si="39"/>
        <v>0.223</v>
      </c>
      <c r="BG25" s="15">
        <f t="shared" si="40"/>
        <v>1.7769999999999999</v>
      </c>
      <c r="BH25" s="14">
        <f>IF(V25&lt;1,"",(AVERAGE(O$14:O25))-(BE25*(AVERAGE(P$14:P25))))</f>
        <v>4.1269999999999998</v>
      </c>
      <c r="BI25" s="3">
        <f>IF(V25&lt;1,"",(AVERAGE(O$14:O25)))</f>
        <v>5.333333333333333</v>
      </c>
      <c r="BJ25" s="3">
        <f>IF(V25&lt;1,"",((AVERAGE(O$14:O25))+(BE25*(AVERAGE(P$14:P25)))))</f>
        <v>6.5396666666666663</v>
      </c>
      <c r="BK25" s="61">
        <f>IF(V25&lt;1,"",(BF25*AVERAGE(P$14:P25)))</f>
        <v>0.87341666666666662</v>
      </c>
      <c r="BL25" s="24">
        <f>IF(V25&lt;1,"",(AVERAGE(P$14:P25)))</f>
        <v>3.9166666666666665</v>
      </c>
      <c r="BM25" s="60">
        <f>IF(V25&lt;1,"",(BG25*AVERAGE(P$14:P25)))</f>
        <v>6.9599166666666656</v>
      </c>
      <c r="BP25" s="59">
        <v>17</v>
      </c>
      <c r="BQ25" s="22">
        <v>0.378</v>
      </c>
      <c r="BR25" s="22">
        <v>1.6220000000000001</v>
      </c>
      <c r="BS25" s="22">
        <v>0.20300000000000001</v>
      </c>
      <c r="BT25" s="3">
        <v>3.5880000000000001</v>
      </c>
      <c r="BU25" s="58">
        <v>0.98450000000000004</v>
      </c>
      <c r="BV25" s="1"/>
      <c r="BW25" s="1"/>
      <c r="BX25" s="1"/>
    </row>
    <row r="26" spans="1:76" s="3" customFormat="1" ht="12.75" customHeight="1">
      <c r="A26" s="57">
        <v>13</v>
      </c>
      <c r="B26" s="56"/>
      <c r="C26" s="170"/>
      <c r="D26" s="171"/>
      <c r="E26" s="55">
        <v>6</v>
      </c>
      <c r="F26" s="54">
        <v>5</v>
      </c>
      <c r="G26" s="54">
        <v>5</v>
      </c>
      <c r="H26" s="54">
        <v>8</v>
      </c>
      <c r="I26" s="54">
        <v>5</v>
      </c>
      <c r="J26" s="54">
        <v>5</v>
      </c>
      <c r="K26" s="54">
        <v>5</v>
      </c>
      <c r="L26" s="54">
        <v>5</v>
      </c>
      <c r="M26" s="54">
        <v>5</v>
      </c>
      <c r="N26" s="53">
        <v>5</v>
      </c>
      <c r="O26" s="52">
        <f t="shared" si="0"/>
        <v>5.4</v>
      </c>
      <c r="P26" s="51">
        <f t="shared" si="1"/>
        <v>3</v>
      </c>
      <c r="Q26" s="50">
        <f t="shared" si="2"/>
        <v>0.67122676957219629</v>
      </c>
      <c r="R26" s="49">
        <f t="shared" si="3"/>
        <v>0.46985873870014333</v>
      </c>
      <c r="S26" s="67">
        <f t="shared" si="4"/>
        <v>1.4095762161004299</v>
      </c>
      <c r="T26" s="66">
        <f t="shared" si="5"/>
        <v>158664.85393832551</v>
      </c>
      <c r="U26" s="63">
        <f t="shared" si="6"/>
        <v>0.99320631549223248</v>
      </c>
      <c r="V26" s="62">
        <f t="shared" si="41"/>
        <v>10</v>
      </c>
      <c r="W26" s="65">
        <f t="shared" si="7"/>
        <v>0.25</v>
      </c>
      <c r="X26" s="26">
        <f t="shared" si="8"/>
        <v>0</v>
      </c>
      <c r="Y26" s="26">
        <f t="shared" si="9"/>
        <v>0</v>
      </c>
      <c r="Z26" s="26">
        <f t="shared" si="10"/>
        <v>0.75</v>
      </c>
      <c r="AA26" s="26">
        <f t="shared" si="11"/>
        <v>0</v>
      </c>
      <c r="AB26" s="26">
        <f t="shared" si="12"/>
        <v>0</v>
      </c>
      <c r="AC26" s="26">
        <f t="shared" si="13"/>
        <v>0</v>
      </c>
      <c r="AD26" s="26">
        <f t="shared" si="14"/>
        <v>0</v>
      </c>
      <c r="AE26" s="26">
        <f t="shared" si="15"/>
        <v>0</v>
      </c>
      <c r="AF26" s="64">
        <f t="shared" si="16"/>
        <v>0</v>
      </c>
      <c r="AG26" s="65">
        <f t="shared" si="17"/>
        <v>0.10000000000000009</v>
      </c>
      <c r="AH26" s="26">
        <f t="shared" si="18"/>
        <v>0.75</v>
      </c>
      <c r="AI26" s="26">
        <v>0</v>
      </c>
      <c r="AJ26" s="26">
        <f t="shared" si="19"/>
        <v>-0.25</v>
      </c>
      <c r="AK26" s="65">
        <f t="shared" si="20"/>
        <v>-0.21153846153846168</v>
      </c>
      <c r="AL26" s="26">
        <f t="shared" si="21"/>
        <v>8.4615384615384537E-2</v>
      </c>
      <c r="AM26" s="64">
        <f t="shared" si="22"/>
        <v>0.38076923076923075</v>
      </c>
      <c r="AN26" s="65">
        <f t="shared" si="23"/>
        <v>0.75</v>
      </c>
      <c r="AO26" s="26">
        <v>0</v>
      </c>
      <c r="AP26" s="26">
        <v>1</v>
      </c>
      <c r="AQ26" s="65">
        <f t="shared" si="24"/>
        <v>0.21442307692307694</v>
      </c>
      <c r="AR26" s="26">
        <f t="shared" si="25"/>
        <v>0.96153846153846156</v>
      </c>
      <c r="AS26" s="64">
        <f t="shared" si="26"/>
        <v>1.7086538461538461</v>
      </c>
      <c r="AT26" s="63">
        <f t="shared" si="27"/>
        <v>4.1538461538461533</v>
      </c>
      <c r="AU26" s="25">
        <f t="shared" si="28"/>
        <v>5.3384615384615381</v>
      </c>
      <c r="AV26" s="25">
        <f t="shared" si="29"/>
        <v>6.523076923076923</v>
      </c>
      <c r="AW26" s="63">
        <f t="shared" si="30"/>
        <v>4</v>
      </c>
      <c r="AX26" s="25">
        <f t="shared" si="31"/>
        <v>5</v>
      </c>
      <c r="AY26" s="62">
        <f t="shared" si="32"/>
        <v>8</v>
      </c>
      <c r="AZ26" s="25">
        <f t="shared" si="33"/>
        <v>0.85769230769230775</v>
      </c>
      <c r="BA26" s="25">
        <f t="shared" si="34"/>
        <v>3.8461538461538463</v>
      </c>
      <c r="BB26" s="25">
        <f t="shared" si="35"/>
        <v>6.8346153846153843</v>
      </c>
      <c r="BC26" s="25">
        <f t="shared" si="36"/>
        <v>3</v>
      </c>
      <c r="BD26" s="62">
        <f t="shared" si="37"/>
        <v>7</v>
      </c>
      <c r="BE26" s="14">
        <f t="shared" si="38"/>
        <v>0.308</v>
      </c>
      <c r="BF26" s="3">
        <f t="shared" si="39"/>
        <v>0.223</v>
      </c>
      <c r="BG26" s="15">
        <f t="shared" si="40"/>
        <v>1.7769999999999999</v>
      </c>
      <c r="BH26" s="14">
        <f>IF(V26&lt;1,"",(AVERAGE(O$14:O26))-(BE26*(AVERAGE(P$14:P26))))</f>
        <v>4.1538461538461533</v>
      </c>
      <c r="BI26" s="3">
        <f>IF(V26&lt;1,"",(AVERAGE(O$14:O26)))</f>
        <v>5.3384615384615381</v>
      </c>
      <c r="BJ26" s="3">
        <f>IF(V26&lt;1,"",((AVERAGE(O$14:O26))+(BE26*(AVERAGE(P$14:P26)))))</f>
        <v>6.523076923076923</v>
      </c>
      <c r="BK26" s="61">
        <f>IF(V26&lt;1,"",(BF26*AVERAGE(P$14:P26)))</f>
        <v>0.85769230769230775</v>
      </c>
      <c r="BL26" s="24">
        <f>IF(V26&lt;1,"",(AVERAGE(P$14:P26)))</f>
        <v>3.8461538461538463</v>
      </c>
      <c r="BM26" s="60">
        <f>IF(V26&lt;1,"",(BG26*AVERAGE(P$14:P26)))</f>
        <v>6.8346153846153843</v>
      </c>
      <c r="BP26" s="59">
        <v>18</v>
      </c>
      <c r="BQ26" s="22">
        <v>0.39100000000000001</v>
      </c>
      <c r="BR26" s="22">
        <v>1.609</v>
      </c>
      <c r="BS26" s="22">
        <v>0.19400000000000001</v>
      </c>
      <c r="BT26" s="3">
        <v>3.64</v>
      </c>
      <c r="BU26" s="58">
        <v>0.98540000000000005</v>
      </c>
      <c r="BV26" s="1"/>
      <c r="BW26" s="1"/>
      <c r="BX26" s="1"/>
    </row>
    <row r="27" spans="1:76" s="3" customFormat="1" ht="12.75" customHeight="1">
      <c r="A27" s="57">
        <v>14</v>
      </c>
      <c r="B27" s="56"/>
      <c r="C27" s="170"/>
      <c r="D27" s="171"/>
      <c r="E27" s="55">
        <v>6</v>
      </c>
      <c r="F27" s="54">
        <v>5</v>
      </c>
      <c r="G27" s="54">
        <v>8</v>
      </c>
      <c r="H27" s="54">
        <v>5</v>
      </c>
      <c r="I27" s="54">
        <v>8</v>
      </c>
      <c r="J27" s="54">
        <v>5</v>
      </c>
      <c r="K27" s="54">
        <v>5</v>
      </c>
      <c r="L27" s="54">
        <v>5</v>
      </c>
      <c r="M27" s="54">
        <v>5</v>
      </c>
      <c r="N27" s="53">
        <v>5</v>
      </c>
      <c r="O27" s="52">
        <f t="shared" si="0"/>
        <v>5.7</v>
      </c>
      <c r="P27" s="51">
        <f t="shared" si="1"/>
        <v>3</v>
      </c>
      <c r="Q27" s="50">
        <f t="shared" si="2"/>
        <v>0.51808301588398731</v>
      </c>
      <c r="R27" s="49">
        <f t="shared" si="3"/>
        <v>0.44037056350110398</v>
      </c>
      <c r="S27" s="67">
        <f t="shared" si="4"/>
        <v>1.321111690503312</v>
      </c>
      <c r="T27" s="66">
        <f t="shared" si="5"/>
        <v>186464.12561158199</v>
      </c>
      <c r="U27" s="63">
        <f t="shared" si="6"/>
        <v>1.2867950622335493</v>
      </c>
      <c r="V27" s="62">
        <f t="shared" si="41"/>
        <v>10</v>
      </c>
      <c r="W27" s="65">
        <f t="shared" si="7"/>
        <v>0.25</v>
      </c>
      <c r="X27" s="26">
        <f t="shared" si="8"/>
        <v>0</v>
      </c>
      <c r="Y27" s="26">
        <f t="shared" si="9"/>
        <v>0.75</v>
      </c>
      <c r="Z27" s="26">
        <f t="shared" si="10"/>
        <v>0</v>
      </c>
      <c r="AA27" s="26">
        <f t="shared" si="11"/>
        <v>0.75</v>
      </c>
      <c r="AB27" s="26">
        <f t="shared" si="12"/>
        <v>0</v>
      </c>
      <c r="AC27" s="26">
        <f t="shared" si="13"/>
        <v>0</v>
      </c>
      <c r="AD27" s="26">
        <f t="shared" si="14"/>
        <v>0</v>
      </c>
      <c r="AE27" s="26">
        <f t="shared" si="15"/>
        <v>0</v>
      </c>
      <c r="AF27" s="64">
        <f t="shared" si="16"/>
        <v>0</v>
      </c>
      <c r="AG27" s="65">
        <f t="shared" si="17"/>
        <v>0.17500000000000004</v>
      </c>
      <c r="AH27" s="26">
        <f t="shared" si="18"/>
        <v>0.75</v>
      </c>
      <c r="AI27" s="26">
        <v>0</v>
      </c>
      <c r="AJ27" s="26">
        <f t="shared" si="19"/>
        <v>-0.25</v>
      </c>
      <c r="AK27" s="65">
        <f t="shared" si="20"/>
        <v>-0.20042857142857162</v>
      </c>
      <c r="AL27" s="26">
        <f t="shared" si="21"/>
        <v>9.107142857142847E-2</v>
      </c>
      <c r="AM27" s="64">
        <f t="shared" si="22"/>
        <v>0.38257142857142856</v>
      </c>
      <c r="AN27" s="65">
        <f t="shared" si="23"/>
        <v>0.75</v>
      </c>
      <c r="AO27" s="26">
        <v>0</v>
      </c>
      <c r="AP27" s="26">
        <v>1</v>
      </c>
      <c r="AQ27" s="65">
        <f t="shared" si="24"/>
        <v>0.21105357142857142</v>
      </c>
      <c r="AR27" s="26">
        <f t="shared" si="25"/>
        <v>0.9464285714285714</v>
      </c>
      <c r="AS27" s="64">
        <f t="shared" si="26"/>
        <v>1.6818035714285713</v>
      </c>
      <c r="AT27" s="63">
        <f t="shared" si="27"/>
        <v>4.1982857142857135</v>
      </c>
      <c r="AU27" s="25">
        <f t="shared" si="28"/>
        <v>5.3642857142857139</v>
      </c>
      <c r="AV27" s="25">
        <f t="shared" si="29"/>
        <v>6.5302857142857142</v>
      </c>
      <c r="AW27" s="63">
        <f t="shared" si="30"/>
        <v>4</v>
      </c>
      <c r="AX27" s="25">
        <f t="shared" si="31"/>
        <v>5</v>
      </c>
      <c r="AY27" s="62">
        <f t="shared" si="32"/>
        <v>8</v>
      </c>
      <c r="AZ27" s="25">
        <f t="shared" si="33"/>
        <v>0.84421428571428569</v>
      </c>
      <c r="BA27" s="25">
        <f t="shared" si="34"/>
        <v>3.7857142857142856</v>
      </c>
      <c r="BB27" s="25">
        <f t="shared" si="35"/>
        <v>6.7272142857142851</v>
      </c>
      <c r="BC27" s="25">
        <f t="shared" si="36"/>
        <v>3</v>
      </c>
      <c r="BD27" s="62">
        <f t="shared" si="37"/>
        <v>7</v>
      </c>
      <c r="BE27" s="14">
        <f t="shared" si="38"/>
        <v>0.308</v>
      </c>
      <c r="BF27" s="3">
        <f t="shared" si="39"/>
        <v>0.223</v>
      </c>
      <c r="BG27" s="15">
        <f t="shared" si="40"/>
        <v>1.7769999999999999</v>
      </c>
      <c r="BH27" s="14">
        <f>IF(V27&lt;1,"",(AVERAGE(O$14:O27))-(BE27*(AVERAGE(P$14:P27))))</f>
        <v>4.1982857142857135</v>
      </c>
      <c r="BI27" s="3">
        <f>IF(V27&lt;1,"",(AVERAGE(O$14:O27)))</f>
        <v>5.3642857142857139</v>
      </c>
      <c r="BJ27" s="3">
        <f>IF(V27&lt;1,"",((AVERAGE(O$14:O27))+(BE27*(AVERAGE(P$14:P27)))))</f>
        <v>6.5302857142857142</v>
      </c>
      <c r="BK27" s="61">
        <f>IF(V27&lt;1,"",(BF27*AVERAGE(P$14:P27)))</f>
        <v>0.84421428571428569</v>
      </c>
      <c r="BL27" s="24">
        <f>IF(V27&lt;1,"",(AVERAGE(P$14:P27)))</f>
        <v>3.7857142857142856</v>
      </c>
      <c r="BM27" s="60">
        <f>IF(V27&lt;1,"",(BG27*AVERAGE(P$14:P27)))</f>
        <v>6.7272142857142851</v>
      </c>
      <c r="BP27" s="59">
        <v>19</v>
      </c>
      <c r="BQ27" s="22">
        <v>0.40400000000000003</v>
      </c>
      <c r="BR27" s="22">
        <v>1.5960000000000001</v>
      </c>
      <c r="BS27" s="22">
        <v>0.187</v>
      </c>
      <c r="BT27" s="3">
        <v>3.6890000000000001</v>
      </c>
      <c r="BU27" s="58">
        <v>0.98619999999999997</v>
      </c>
      <c r="BV27" s="1"/>
      <c r="BW27" s="1"/>
      <c r="BX27" s="1"/>
    </row>
    <row r="28" spans="1:76" s="3" customFormat="1" ht="12.75" customHeight="1">
      <c r="A28" s="57">
        <v>15</v>
      </c>
      <c r="B28" s="56"/>
      <c r="C28" s="170"/>
      <c r="D28" s="171"/>
      <c r="E28" s="55">
        <v>7</v>
      </c>
      <c r="F28" s="54">
        <v>5</v>
      </c>
      <c r="G28" s="54">
        <v>5</v>
      </c>
      <c r="H28" s="54">
        <v>5</v>
      </c>
      <c r="I28" s="54">
        <v>7</v>
      </c>
      <c r="J28" s="54">
        <v>6</v>
      </c>
      <c r="K28" s="54">
        <v>5</v>
      </c>
      <c r="L28" s="54">
        <v>5</v>
      </c>
      <c r="M28" s="54">
        <v>5</v>
      </c>
      <c r="N28" s="53">
        <v>5</v>
      </c>
      <c r="O28" s="52">
        <f t="shared" si="0"/>
        <v>5.5</v>
      </c>
      <c r="P28" s="51">
        <f t="shared" si="1"/>
        <v>2</v>
      </c>
      <c r="Q28" s="50">
        <f t="shared" si="2"/>
        <v>0.76304865859550086</v>
      </c>
      <c r="R28" s="49">
        <f t="shared" si="3"/>
        <v>0.57228649394607978</v>
      </c>
      <c r="S28" s="67">
        <f t="shared" si="4"/>
        <v>1.7168594818382394</v>
      </c>
      <c r="T28" s="66">
        <f t="shared" si="5"/>
        <v>86004.849653544385</v>
      </c>
      <c r="U28" s="63">
        <f t="shared" si="6"/>
        <v>0.87368827552050732</v>
      </c>
      <c r="V28" s="62">
        <f t="shared" si="41"/>
        <v>10</v>
      </c>
      <c r="W28" s="65">
        <f t="shared" si="7"/>
        <v>0.5</v>
      </c>
      <c r="X28" s="26">
        <f t="shared" si="8"/>
        <v>0</v>
      </c>
      <c r="Y28" s="26">
        <f t="shared" si="9"/>
        <v>0</v>
      </c>
      <c r="Z28" s="26">
        <f t="shared" si="10"/>
        <v>0</v>
      </c>
      <c r="AA28" s="26">
        <f t="shared" si="11"/>
        <v>0.5</v>
      </c>
      <c r="AB28" s="26">
        <f t="shared" si="12"/>
        <v>0.25</v>
      </c>
      <c r="AC28" s="26">
        <f t="shared" si="13"/>
        <v>0</v>
      </c>
      <c r="AD28" s="26">
        <f t="shared" si="14"/>
        <v>0</v>
      </c>
      <c r="AE28" s="26">
        <f t="shared" si="15"/>
        <v>0</v>
      </c>
      <c r="AF28" s="64">
        <f t="shared" si="16"/>
        <v>0</v>
      </c>
      <c r="AG28" s="65">
        <f t="shared" si="17"/>
        <v>0.125</v>
      </c>
      <c r="AH28" s="26">
        <f t="shared" si="18"/>
        <v>0.75</v>
      </c>
      <c r="AI28" s="26">
        <v>0</v>
      </c>
      <c r="AJ28" s="26">
        <f t="shared" si="19"/>
        <v>-0.25</v>
      </c>
      <c r="AK28" s="65">
        <f t="shared" si="20"/>
        <v>-0.18900000000000006</v>
      </c>
      <c r="AL28" s="26">
        <f t="shared" si="21"/>
        <v>9.3333333333333268E-2</v>
      </c>
      <c r="AM28" s="64">
        <f t="shared" si="22"/>
        <v>0.37566666666666659</v>
      </c>
      <c r="AN28" s="65">
        <f t="shared" si="23"/>
        <v>0.5</v>
      </c>
      <c r="AO28" s="26">
        <v>0</v>
      </c>
      <c r="AP28" s="26">
        <v>1</v>
      </c>
      <c r="AQ28" s="65">
        <f t="shared" si="24"/>
        <v>0.20441666666666666</v>
      </c>
      <c r="AR28" s="26">
        <f t="shared" si="25"/>
        <v>0.91666666666666663</v>
      </c>
      <c r="AS28" s="64">
        <f t="shared" si="26"/>
        <v>1.6289166666666666</v>
      </c>
      <c r="AT28" s="63">
        <f t="shared" si="27"/>
        <v>4.2439999999999998</v>
      </c>
      <c r="AU28" s="25">
        <f t="shared" si="28"/>
        <v>5.3733333333333331</v>
      </c>
      <c r="AV28" s="25">
        <f t="shared" si="29"/>
        <v>6.5026666666666664</v>
      </c>
      <c r="AW28" s="63">
        <f t="shared" si="30"/>
        <v>4</v>
      </c>
      <c r="AX28" s="25">
        <f t="shared" si="31"/>
        <v>5</v>
      </c>
      <c r="AY28" s="62">
        <f t="shared" si="32"/>
        <v>8</v>
      </c>
      <c r="AZ28" s="25">
        <f t="shared" si="33"/>
        <v>0.81766666666666665</v>
      </c>
      <c r="BA28" s="25">
        <f t="shared" si="34"/>
        <v>3.6666666666666665</v>
      </c>
      <c r="BB28" s="25">
        <f t="shared" si="35"/>
        <v>6.5156666666666663</v>
      </c>
      <c r="BC28" s="25">
        <f t="shared" si="36"/>
        <v>3</v>
      </c>
      <c r="BD28" s="62">
        <f t="shared" si="37"/>
        <v>7</v>
      </c>
      <c r="BE28" s="14">
        <f t="shared" si="38"/>
        <v>0.308</v>
      </c>
      <c r="BF28" s="3">
        <f t="shared" si="39"/>
        <v>0.223</v>
      </c>
      <c r="BG28" s="15">
        <f t="shared" si="40"/>
        <v>1.7769999999999999</v>
      </c>
      <c r="BH28" s="14">
        <f>IF(V28&lt;1,"",(AVERAGE(O$14:O28))-(BE28*(AVERAGE(P$14:P28))))</f>
        <v>4.2439999999999998</v>
      </c>
      <c r="BI28" s="3">
        <f>IF(V28&lt;1,"",(AVERAGE(O$14:O28)))</f>
        <v>5.3733333333333331</v>
      </c>
      <c r="BJ28" s="3">
        <f>IF(V28&lt;1,"",((AVERAGE(O$14:O28))+(BE28*(AVERAGE(P$14:P28)))))</f>
        <v>6.5026666666666664</v>
      </c>
      <c r="BK28" s="61">
        <f>IF(V28&lt;1,"",(BF28*AVERAGE(P$14:P28)))</f>
        <v>0.81766666666666665</v>
      </c>
      <c r="BL28" s="24">
        <f>IF(V28&lt;1,"",(AVERAGE(P$14:P28)))</f>
        <v>3.6666666666666665</v>
      </c>
      <c r="BM28" s="60">
        <f>IF(V28&lt;1,"",(BG28*AVERAGE(P$14:P28)))</f>
        <v>6.5156666666666663</v>
      </c>
      <c r="BP28" s="59">
        <v>20</v>
      </c>
      <c r="BQ28" s="22">
        <v>0.41499999999999998</v>
      </c>
      <c r="BR28" s="22">
        <v>1.585</v>
      </c>
      <c r="BS28" s="22">
        <v>0.18</v>
      </c>
      <c r="BT28" s="23">
        <v>3.7349999999999999</v>
      </c>
      <c r="BU28" s="58">
        <v>0.9869</v>
      </c>
      <c r="BV28" s="1"/>
      <c r="BW28" s="1"/>
      <c r="BX28" s="1"/>
    </row>
    <row r="29" spans="1:76" s="3" customFormat="1" ht="12.75" customHeight="1">
      <c r="A29" s="57">
        <v>16</v>
      </c>
      <c r="B29" s="56"/>
      <c r="C29" s="170"/>
      <c r="D29" s="171"/>
      <c r="E29" s="55">
        <v>7</v>
      </c>
      <c r="F29" s="54">
        <v>5</v>
      </c>
      <c r="G29" s="54">
        <v>8</v>
      </c>
      <c r="H29" s="54">
        <v>5</v>
      </c>
      <c r="I29" s="54">
        <v>8</v>
      </c>
      <c r="J29" s="54">
        <v>8</v>
      </c>
      <c r="K29" s="54">
        <v>6</v>
      </c>
      <c r="L29" s="54">
        <v>5</v>
      </c>
      <c r="M29" s="54">
        <v>5</v>
      </c>
      <c r="N29" s="53">
        <v>5</v>
      </c>
      <c r="O29" s="52">
        <f t="shared" si="0"/>
        <v>6.2</v>
      </c>
      <c r="P29" s="51">
        <f t="shared" si="1"/>
        <v>3</v>
      </c>
      <c r="Q29" s="50">
        <f t="shared" si="2"/>
        <v>0.46371653027953974</v>
      </c>
      <c r="R29" s="49">
        <f t="shared" si="3"/>
        <v>0.41734487725134373</v>
      </c>
      <c r="S29" s="67">
        <f t="shared" si="4"/>
        <v>1.2520346317540312</v>
      </c>
      <c r="T29" s="66">
        <f t="shared" si="5"/>
        <v>210557.24493337903</v>
      </c>
      <c r="U29" s="63">
        <f t="shared" si="6"/>
        <v>1.4376599131902983</v>
      </c>
      <c r="V29" s="62">
        <f t="shared" si="41"/>
        <v>10</v>
      </c>
      <c r="W29" s="65">
        <f t="shared" si="7"/>
        <v>0.5</v>
      </c>
      <c r="X29" s="26">
        <f t="shared" si="8"/>
        <v>0</v>
      </c>
      <c r="Y29" s="26">
        <f t="shared" si="9"/>
        <v>0.75</v>
      </c>
      <c r="Z29" s="26">
        <f t="shared" si="10"/>
        <v>0</v>
      </c>
      <c r="AA29" s="26">
        <f t="shared" si="11"/>
        <v>0.75</v>
      </c>
      <c r="AB29" s="26">
        <f t="shared" si="12"/>
        <v>0.75</v>
      </c>
      <c r="AC29" s="26">
        <f t="shared" si="13"/>
        <v>0.25</v>
      </c>
      <c r="AD29" s="26">
        <f t="shared" si="14"/>
        <v>0</v>
      </c>
      <c r="AE29" s="26">
        <f t="shared" si="15"/>
        <v>0</v>
      </c>
      <c r="AF29" s="64">
        <f t="shared" si="16"/>
        <v>0</v>
      </c>
      <c r="AG29" s="65">
        <f t="shared" si="17"/>
        <v>0.30000000000000004</v>
      </c>
      <c r="AH29" s="26">
        <f t="shared" si="18"/>
        <v>0.75</v>
      </c>
      <c r="AI29" s="26">
        <v>0</v>
      </c>
      <c r="AJ29" s="26">
        <f t="shared" si="19"/>
        <v>-0.25</v>
      </c>
      <c r="AK29" s="65">
        <f t="shared" si="20"/>
        <v>-0.17287500000000011</v>
      </c>
      <c r="AL29" s="26">
        <f t="shared" si="21"/>
        <v>0.10624999999999996</v>
      </c>
      <c r="AM29" s="64">
        <f t="shared" si="22"/>
        <v>0.38537500000000002</v>
      </c>
      <c r="AN29" s="65">
        <f t="shared" si="23"/>
        <v>0.75</v>
      </c>
      <c r="AO29" s="26">
        <v>0</v>
      </c>
      <c r="AP29" s="26">
        <v>1</v>
      </c>
      <c r="AQ29" s="65">
        <f t="shared" si="24"/>
        <v>0.20209375000000002</v>
      </c>
      <c r="AR29" s="26">
        <f t="shared" si="25"/>
        <v>0.90625</v>
      </c>
      <c r="AS29" s="64">
        <f t="shared" si="26"/>
        <v>1.6104062499999998</v>
      </c>
      <c r="AT29" s="63">
        <f t="shared" si="27"/>
        <v>4.3084999999999996</v>
      </c>
      <c r="AU29" s="25">
        <f t="shared" si="28"/>
        <v>5.4249999999999998</v>
      </c>
      <c r="AV29" s="25">
        <f t="shared" si="29"/>
        <v>6.5415000000000001</v>
      </c>
      <c r="AW29" s="63">
        <f t="shared" si="30"/>
        <v>4</v>
      </c>
      <c r="AX29" s="25">
        <f t="shared" si="31"/>
        <v>5</v>
      </c>
      <c r="AY29" s="62">
        <f t="shared" si="32"/>
        <v>8</v>
      </c>
      <c r="AZ29" s="25">
        <f t="shared" si="33"/>
        <v>0.80837500000000007</v>
      </c>
      <c r="BA29" s="25">
        <f t="shared" si="34"/>
        <v>3.625</v>
      </c>
      <c r="BB29" s="25">
        <f t="shared" si="35"/>
        <v>6.4416249999999993</v>
      </c>
      <c r="BC29" s="25">
        <f t="shared" si="36"/>
        <v>3</v>
      </c>
      <c r="BD29" s="62">
        <f t="shared" si="37"/>
        <v>7</v>
      </c>
      <c r="BE29" s="14">
        <f t="shared" si="38"/>
        <v>0.308</v>
      </c>
      <c r="BF29" s="3">
        <f t="shared" si="39"/>
        <v>0.223</v>
      </c>
      <c r="BG29" s="15">
        <f t="shared" si="40"/>
        <v>1.7769999999999999</v>
      </c>
      <c r="BH29" s="14">
        <f>IF(V29&lt;1,"",(AVERAGE(O$14:O29))-(BE29*(AVERAGE(P$14:P29))))</f>
        <v>4.3084999999999996</v>
      </c>
      <c r="BI29" s="3">
        <f>IF(V29&lt;1,"",(AVERAGE(O$14:O29)))</f>
        <v>5.4249999999999998</v>
      </c>
      <c r="BJ29" s="3">
        <f>IF(V29&lt;1,"",((AVERAGE(O$14:O29))+(BE29*(AVERAGE(P$14:P29)))))</f>
        <v>6.5415000000000001</v>
      </c>
      <c r="BK29" s="61">
        <f>IF(V29&lt;1,"",(BF29*AVERAGE(P$14:P29)))</f>
        <v>0.80837500000000007</v>
      </c>
      <c r="BL29" s="24">
        <f>IF(V29&lt;1,"",(AVERAGE(P$14:P29)))</f>
        <v>3.625</v>
      </c>
      <c r="BM29" s="60">
        <f>IF(V29&lt;1,"",(BG29*AVERAGE(P$14:P29)))</f>
        <v>6.4416249999999993</v>
      </c>
      <c r="BP29" s="59">
        <v>21</v>
      </c>
      <c r="BQ29" s="22">
        <v>0.42499999999999999</v>
      </c>
      <c r="BR29" s="22">
        <v>1.575</v>
      </c>
      <c r="BS29" s="22">
        <v>0.17299999999999999</v>
      </c>
      <c r="BT29" s="3">
        <v>3.778</v>
      </c>
      <c r="BU29" s="58">
        <v>0.98760000000000003</v>
      </c>
      <c r="BV29" s="1"/>
      <c r="BW29" s="1"/>
      <c r="BX29" s="1"/>
    </row>
    <row r="30" spans="1:76" s="3" customFormat="1" ht="12.75" customHeight="1">
      <c r="A30" s="57">
        <v>17</v>
      </c>
      <c r="B30" s="56"/>
      <c r="C30" s="170"/>
      <c r="D30" s="171"/>
      <c r="E30" s="55">
        <v>8</v>
      </c>
      <c r="F30" s="54">
        <v>5</v>
      </c>
      <c r="G30" s="54">
        <v>5</v>
      </c>
      <c r="H30" s="54">
        <v>8</v>
      </c>
      <c r="I30" s="54">
        <v>5</v>
      </c>
      <c r="J30" s="54">
        <v>5</v>
      </c>
      <c r="K30" s="54">
        <v>5</v>
      </c>
      <c r="L30" s="54">
        <v>5</v>
      </c>
      <c r="M30" s="54">
        <v>5</v>
      </c>
      <c r="N30" s="53">
        <v>5</v>
      </c>
      <c r="O30" s="52">
        <f t="shared" si="0"/>
        <v>5.6</v>
      </c>
      <c r="P30" s="51">
        <f t="shared" si="1"/>
        <v>3</v>
      </c>
      <c r="Q30" s="50">
        <f t="shared" si="2"/>
        <v>0.5126579133408985</v>
      </c>
      <c r="R30" s="49">
        <f t="shared" si="3"/>
        <v>0.41012633067245585</v>
      </c>
      <c r="S30" s="67">
        <f t="shared" si="4"/>
        <v>1.2303789920173676</v>
      </c>
      <c r="T30" s="66">
        <f t="shared" si="5"/>
        <v>218555.21647099653</v>
      </c>
      <c r="U30" s="63">
        <f t="shared" si="6"/>
        <v>1.3004123204146711</v>
      </c>
      <c r="V30" s="62">
        <f t="shared" si="41"/>
        <v>10</v>
      </c>
      <c r="W30" s="65">
        <f t="shared" si="7"/>
        <v>0.75</v>
      </c>
      <c r="X30" s="26">
        <f t="shared" si="8"/>
        <v>0</v>
      </c>
      <c r="Y30" s="26">
        <f t="shared" si="9"/>
        <v>0</v>
      </c>
      <c r="Z30" s="26">
        <f t="shared" si="10"/>
        <v>0.75</v>
      </c>
      <c r="AA30" s="26">
        <f t="shared" si="11"/>
        <v>0</v>
      </c>
      <c r="AB30" s="26">
        <f t="shared" si="12"/>
        <v>0</v>
      </c>
      <c r="AC30" s="26">
        <f t="shared" si="13"/>
        <v>0</v>
      </c>
      <c r="AD30" s="26">
        <f t="shared" si="14"/>
        <v>0</v>
      </c>
      <c r="AE30" s="26">
        <f t="shared" si="15"/>
        <v>0</v>
      </c>
      <c r="AF30" s="64">
        <f t="shared" si="16"/>
        <v>0</v>
      </c>
      <c r="AG30" s="65">
        <f t="shared" si="17"/>
        <v>0.14999999999999991</v>
      </c>
      <c r="AH30" s="26">
        <f t="shared" si="18"/>
        <v>0.75</v>
      </c>
      <c r="AI30" s="26">
        <v>0</v>
      </c>
      <c r="AJ30" s="26">
        <f t="shared" si="19"/>
        <v>-0.25</v>
      </c>
      <c r="AK30" s="65">
        <f t="shared" si="20"/>
        <v>-0.16747058823529426</v>
      </c>
      <c r="AL30" s="26">
        <f t="shared" si="21"/>
        <v>0.10882352941176454</v>
      </c>
      <c r="AM30" s="64">
        <f t="shared" si="22"/>
        <v>0.38511764705882334</v>
      </c>
      <c r="AN30" s="65">
        <f t="shared" si="23"/>
        <v>0.75</v>
      </c>
      <c r="AO30" s="26">
        <v>0</v>
      </c>
      <c r="AP30" s="26">
        <v>1</v>
      </c>
      <c r="AQ30" s="65">
        <f t="shared" si="24"/>
        <v>0.20004411764705884</v>
      </c>
      <c r="AR30" s="26">
        <f t="shared" si="25"/>
        <v>0.8970588235294118</v>
      </c>
      <c r="AS30" s="64">
        <f t="shared" si="26"/>
        <v>1.5940735294117647</v>
      </c>
      <c r="AT30" s="63">
        <f t="shared" si="27"/>
        <v>4.330117647058823</v>
      </c>
      <c r="AU30" s="25">
        <f t="shared" si="28"/>
        <v>5.4352941176470582</v>
      </c>
      <c r="AV30" s="25">
        <f t="shared" si="29"/>
        <v>6.5404705882352934</v>
      </c>
      <c r="AW30" s="63">
        <f t="shared" si="30"/>
        <v>4</v>
      </c>
      <c r="AX30" s="25">
        <f t="shared" si="31"/>
        <v>5</v>
      </c>
      <c r="AY30" s="62">
        <f t="shared" si="32"/>
        <v>8</v>
      </c>
      <c r="AZ30" s="25">
        <f t="shared" si="33"/>
        <v>0.80017647058823538</v>
      </c>
      <c r="BA30" s="25">
        <f t="shared" si="34"/>
        <v>3.5882352941176472</v>
      </c>
      <c r="BB30" s="25">
        <f t="shared" si="35"/>
        <v>6.3762941176470589</v>
      </c>
      <c r="BC30" s="25">
        <f t="shared" si="36"/>
        <v>3</v>
      </c>
      <c r="BD30" s="62">
        <f t="shared" si="37"/>
        <v>7</v>
      </c>
      <c r="BE30" s="14">
        <f t="shared" si="38"/>
        <v>0.308</v>
      </c>
      <c r="BF30" s="3">
        <f t="shared" si="39"/>
        <v>0.223</v>
      </c>
      <c r="BG30" s="15">
        <f t="shared" si="40"/>
        <v>1.7769999999999999</v>
      </c>
      <c r="BH30" s="14">
        <f>IF(V30&lt;1,"",(AVERAGE(O$14:O30))-(BE30*(AVERAGE(P$14:P30))))</f>
        <v>4.330117647058823</v>
      </c>
      <c r="BI30" s="3">
        <f>IF(V30&lt;1,"",(AVERAGE(O$14:O30)))</f>
        <v>5.4352941176470582</v>
      </c>
      <c r="BJ30" s="3">
        <f>IF(V30&lt;1,"",((AVERAGE(O$14:O30))+(BE30*(AVERAGE(P$14:P30)))))</f>
        <v>6.5404705882352934</v>
      </c>
      <c r="BK30" s="61">
        <f>IF(V30&lt;1,"",(BF30*AVERAGE(P$14:P30)))</f>
        <v>0.80017647058823538</v>
      </c>
      <c r="BL30" s="24">
        <f>IF(V30&lt;1,"",(AVERAGE(P$14:P30)))</f>
        <v>3.5882352941176472</v>
      </c>
      <c r="BM30" s="60">
        <f>IF(V30&lt;1,"",(BG30*AVERAGE(P$14:P30)))</f>
        <v>6.3762941176470589</v>
      </c>
      <c r="BP30" s="59">
        <v>22</v>
      </c>
      <c r="BQ30" s="22">
        <v>0.435</v>
      </c>
      <c r="BR30" s="22">
        <v>1.5649999999999999</v>
      </c>
      <c r="BS30" s="22">
        <v>0.16700000000000001</v>
      </c>
      <c r="BT30" s="3">
        <v>3.819</v>
      </c>
      <c r="BU30" s="58">
        <v>0.98819999999999997</v>
      </c>
      <c r="BV30" s="1"/>
      <c r="BW30" s="1"/>
      <c r="BX30" s="1"/>
    </row>
    <row r="31" spans="1:76" s="3" customFormat="1" ht="12.75" customHeight="1">
      <c r="A31" s="57">
        <v>18</v>
      </c>
      <c r="B31" s="56"/>
      <c r="C31" s="170"/>
      <c r="D31" s="171"/>
      <c r="E31" s="55">
        <v>8</v>
      </c>
      <c r="F31" s="54">
        <v>5</v>
      </c>
      <c r="G31" s="54">
        <v>8</v>
      </c>
      <c r="H31" s="54">
        <v>5</v>
      </c>
      <c r="I31" s="54">
        <v>5</v>
      </c>
      <c r="J31" s="54">
        <v>5</v>
      </c>
      <c r="K31" s="54">
        <v>5</v>
      </c>
      <c r="L31" s="54">
        <v>8</v>
      </c>
      <c r="M31" s="54">
        <v>5</v>
      </c>
      <c r="N31" s="53">
        <v>5</v>
      </c>
      <c r="O31" s="52">
        <f t="shared" si="0"/>
        <v>5.9</v>
      </c>
      <c r="P31" s="51">
        <f t="shared" si="1"/>
        <v>3</v>
      </c>
      <c r="Q31" s="50">
        <f t="shared" si="2"/>
        <v>0.44748451304815551</v>
      </c>
      <c r="R31" s="49">
        <f t="shared" si="3"/>
        <v>0.42511028739550999</v>
      </c>
      <c r="S31" s="67">
        <f t="shared" si="4"/>
        <v>1.27533086218653</v>
      </c>
      <c r="T31" s="66">
        <f t="shared" si="5"/>
        <v>202192.15851573579</v>
      </c>
      <c r="U31" s="63">
        <f t="shared" si="6"/>
        <v>1.48980947323835</v>
      </c>
      <c r="V31" s="62">
        <f t="shared" si="41"/>
        <v>10</v>
      </c>
      <c r="W31" s="65">
        <f t="shared" si="7"/>
        <v>0.75</v>
      </c>
      <c r="X31" s="26">
        <f t="shared" si="8"/>
        <v>0</v>
      </c>
      <c r="Y31" s="26">
        <f t="shared" si="9"/>
        <v>0.75</v>
      </c>
      <c r="Z31" s="26">
        <f t="shared" si="10"/>
        <v>0</v>
      </c>
      <c r="AA31" s="26">
        <f t="shared" si="11"/>
        <v>0</v>
      </c>
      <c r="AB31" s="26">
        <f t="shared" si="12"/>
        <v>0</v>
      </c>
      <c r="AC31" s="26">
        <f t="shared" si="13"/>
        <v>0</v>
      </c>
      <c r="AD31" s="26">
        <f t="shared" si="14"/>
        <v>0.75</v>
      </c>
      <c r="AE31" s="26">
        <f t="shared" si="15"/>
        <v>0</v>
      </c>
      <c r="AF31" s="64">
        <f t="shared" si="16"/>
        <v>0</v>
      </c>
      <c r="AG31" s="65">
        <f t="shared" si="17"/>
        <v>0.22500000000000009</v>
      </c>
      <c r="AH31" s="26">
        <f t="shared" si="18"/>
        <v>0.75</v>
      </c>
      <c r="AI31" s="26">
        <v>0</v>
      </c>
      <c r="AJ31" s="26">
        <f t="shared" si="19"/>
        <v>-0.25</v>
      </c>
      <c r="AK31" s="65">
        <f t="shared" si="20"/>
        <v>-0.15850000000000009</v>
      </c>
      <c r="AL31" s="26">
        <f t="shared" si="21"/>
        <v>0.11527777777777781</v>
      </c>
      <c r="AM31" s="64">
        <f t="shared" si="22"/>
        <v>0.38905555555555571</v>
      </c>
      <c r="AN31" s="65">
        <f t="shared" si="23"/>
        <v>0.75</v>
      </c>
      <c r="AO31" s="26">
        <v>0</v>
      </c>
      <c r="AP31" s="26">
        <v>1</v>
      </c>
      <c r="AQ31" s="65">
        <f t="shared" si="24"/>
        <v>0.19822222222222222</v>
      </c>
      <c r="AR31" s="26">
        <f t="shared" si="25"/>
        <v>0.88888888888888884</v>
      </c>
      <c r="AS31" s="64">
        <f t="shared" si="26"/>
        <v>1.5795555555555554</v>
      </c>
      <c r="AT31" s="63">
        <f t="shared" si="27"/>
        <v>4.3659999999999997</v>
      </c>
      <c r="AU31" s="25">
        <f t="shared" si="28"/>
        <v>5.4611111111111112</v>
      </c>
      <c r="AV31" s="25">
        <f t="shared" si="29"/>
        <v>6.5562222222222228</v>
      </c>
      <c r="AW31" s="63">
        <f t="shared" si="30"/>
        <v>4</v>
      </c>
      <c r="AX31" s="25">
        <f t="shared" si="31"/>
        <v>5</v>
      </c>
      <c r="AY31" s="62">
        <f t="shared" si="32"/>
        <v>8</v>
      </c>
      <c r="AZ31" s="25">
        <f t="shared" si="33"/>
        <v>0.79288888888888887</v>
      </c>
      <c r="BA31" s="25">
        <f t="shared" si="34"/>
        <v>3.5555555555555554</v>
      </c>
      <c r="BB31" s="25">
        <f t="shared" si="35"/>
        <v>6.3182222222222215</v>
      </c>
      <c r="BC31" s="25">
        <f t="shared" si="36"/>
        <v>3</v>
      </c>
      <c r="BD31" s="62">
        <f t="shared" si="37"/>
        <v>7</v>
      </c>
      <c r="BE31" s="14">
        <f t="shared" si="38"/>
        <v>0.308</v>
      </c>
      <c r="BF31" s="3">
        <f t="shared" si="39"/>
        <v>0.223</v>
      </c>
      <c r="BG31" s="15">
        <f t="shared" si="40"/>
        <v>1.7769999999999999</v>
      </c>
      <c r="BH31" s="14">
        <f>IF(V31&lt;1,"",(AVERAGE(O$14:O31))-(BE31*(AVERAGE(P$14:P31))))</f>
        <v>4.3659999999999997</v>
      </c>
      <c r="BI31" s="3">
        <f>IF(V31&lt;1,"",(AVERAGE(O$14:O31)))</f>
        <v>5.4611111111111112</v>
      </c>
      <c r="BJ31" s="3">
        <f>IF(V31&lt;1,"",((AVERAGE(O$14:O31))+(BE31*(AVERAGE(P$14:P31)))))</f>
        <v>6.5562222222222228</v>
      </c>
      <c r="BK31" s="61">
        <f>IF(V31&lt;1,"",(BF31*AVERAGE(P$14:P31)))</f>
        <v>0.79288888888888887</v>
      </c>
      <c r="BL31" s="24">
        <f>IF(V31&lt;1,"",(AVERAGE(P$14:P31)))</f>
        <v>3.5555555555555554</v>
      </c>
      <c r="BM31" s="60">
        <f>IF(V31&lt;1,"",(BG31*AVERAGE(P$14:P31)))</f>
        <v>6.3182222222222215</v>
      </c>
      <c r="BP31" s="59">
        <v>23</v>
      </c>
      <c r="BQ31" s="22">
        <v>0.443</v>
      </c>
      <c r="BR31" s="22">
        <v>1.5569999999999999</v>
      </c>
      <c r="BS31" s="22">
        <v>0.16200000000000001</v>
      </c>
      <c r="BT31" s="3">
        <v>3.8580000000000001</v>
      </c>
      <c r="BU31" s="58">
        <v>0.98870000000000002</v>
      </c>
      <c r="BV31" s="1"/>
      <c r="BW31" s="1"/>
      <c r="BX31" s="1"/>
    </row>
    <row r="32" spans="1:76" s="3" customFormat="1" ht="12.75" customHeight="1">
      <c r="A32" s="57">
        <v>19</v>
      </c>
      <c r="B32" s="56"/>
      <c r="C32" s="170"/>
      <c r="D32" s="171"/>
      <c r="E32" s="55">
        <v>8</v>
      </c>
      <c r="F32" s="54">
        <v>5</v>
      </c>
      <c r="G32" s="54">
        <v>5</v>
      </c>
      <c r="H32" s="54">
        <v>5</v>
      </c>
      <c r="I32" s="54">
        <v>5</v>
      </c>
      <c r="J32" s="54">
        <v>5</v>
      </c>
      <c r="K32" s="54">
        <v>5</v>
      </c>
      <c r="L32" s="54">
        <v>5</v>
      </c>
      <c r="M32" s="54">
        <v>5</v>
      </c>
      <c r="N32" s="53">
        <v>5</v>
      </c>
      <c r="O32" s="52">
        <f t="shared" si="0"/>
        <v>5.3</v>
      </c>
      <c r="P32" s="51">
        <f t="shared" si="1"/>
        <v>3</v>
      </c>
      <c r="Q32" s="50">
        <f t="shared" si="2"/>
        <v>0.68354388445450054</v>
      </c>
      <c r="R32" s="49">
        <f t="shared" si="3"/>
        <v>0.44430352489504571</v>
      </c>
      <c r="S32" s="67">
        <f t="shared" si="4"/>
        <v>1.3329105746851371</v>
      </c>
      <c r="T32" s="66">
        <f t="shared" si="5"/>
        <v>182561.15189344223</v>
      </c>
      <c r="U32" s="63">
        <f t="shared" si="6"/>
        <v>0.97530924031100563</v>
      </c>
      <c r="V32" s="62">
        <f t="shared" si="41"/>
        <v>10</v>
      </c>
      <c r="W32" s="65">
        <f t="shared" si="7"/>
        <v>0.75</v>
      </c>
      <c r="X32" s="26">
        <f t="shared" si="8"/>
        <v>0</v>
      </c>
      <c r="Y32" s="26">
        <f t="shared" si="9"/>
        <v>0</v>
      </c>
      <c r="Z32" s="26">
        <f t="shared" si="10"/>
        <v>0</v>
      </c>
      <c r="AA32" s="26">
        <f t="shared" si="11"/>
        <v>0</v>
      </c>
      <c r="AB32" s="26">
        <f t="shared" si="12"/>
        <v>0</v>
      </c>
      <c r="AC32" s="26">
        <f t="shared" si="13"/>
        <v>0</v>
      </c>
      <c r="AD32" s="26">
        <f t="shared" si="14"/>
        <v>0</v>
      </c>
      <c r="AE32" s="26">
        <f t="shared" si="15"/>
        <v>0</v>
      </c>
      <c r="AF32" s="64">
        <f t="shared" si="16"/>
        <v>0</v>
      </c>
      <c r="AG32" s="65">
        <f t="shared" si="17"/>
        <v>7.4999999999999956E-2</v>
      </c>
      <c r="AH32" s="26">
        <f t="shared" si="18"/>
        <v>0.75</v>
      </c>
      <c r="AI32" s="26">
        <v>0</v>
      </c>
      <c r="AJ32" s="26">
        <f t="shared" si="19"/>
        <v>-0.25</v>
      </c>
      <c r="AK32" s="65">
        <f t="shared" si="20"/>
        <v>-0.15836842105263149</v>
      </c>
      <c r="AL32" s="26">
        <f t="shared" si="21"/>
        <v>0.11315789473684212</v>
      </c>
      <c r="AM32" s="64">
        <f t="shared" si="22"/>
        <v>0.38468421052631574</v>
      </c>
      <c r="AN32" s="65">
        <f t="shared" si="23"/>
        <v>0.75</v>
      </c>
      <c r="AO32" s="26">
        <v>0</v>
      </c>
      <c r="AP32" s="26">
        <v>1</v>
      </c>
      <c r="AQ32" s="65">
        <f t="shared" si="24"/>
        <v>0.1965921052631579</v>
      </c>
      <c r="AR32" s="26">
        <f t="shared" si="25"/>
        <v>0.88157894736842102</v>
      </c>
      <c r="AS32" s="64">
        <f t="shared" si="26"/>
        <v>1.566565789473684</v>
      </c>
      <c r="AT32" s="63">
        <f t="shared" si="27"/>
        <v>4.366526315789474</v>
      </c>
      <c r="AU32" s="25">
        <f t="shared" si="28"/>
        <v>5.4526315789473685</v>
      </c>
      <c r="AV32" s="25">
        <f t="shared" si="29"/>
        <v>6.538736842105263</v>
      </c>
      <c r="AW32" s="63">
        <f t="shared" si="30"/>
        <v>4</v>
      </c>
      <c r="AX32" s="25">
        <f t="shared" si="31"/>
        <v>5</v>
      </c>
      <c r="AY32" s="62">
        <f t="shared" si="32"/>
        <v>8</v>
      </c>
      <c r="AZ32" s="25">
        <f t="shared" si="33"/>
        <v>0.78636842105263161</v>
      </c>
      <c r="BA32" s="25">
        <f t="shared" si="34"/>
        <v>3.5263157894736841</v>
      </c>
      <c r="BB32" s="25">
        <f t="shared" si="35"/>
        <v>6.2662631578947359</v>
      </c>
      <c r="BC32" s="25">
        <f t="shared" si="36"/>
        <v>3</v>
      </c>
      <c r="BD32" s="62">
        <f t="shared" si="37"/>
        <v>7</v>
      </c>
      <c r="BE32" s="14">
        <f t="shared" si="38"/>
        <v>0.308</v>
      </c>
      <c r="BF32" s="3">
        <f t="shared" si="39"/>
        <v>0.223</v>
      </c>
      <c r="BG32" s="15">
        <f t="shared" si="40"/>
        <v>1.7769999999999999</v>
      </c>
      <c r="BH32" s="14">
        <f>IF(V32&lt;1,"",(AVERAGE(O$14:O32))-(BE32*(AVERAGE(P$14:P32))))</f>
        <v>4.366526315789474</v>
      </c>
      <c r="BI32" s="3">
        <f>IF(V32&lt;1,"",(AVERAGE(O$14:O32)))</f>
        <v>5.4526315789473685</v>
      </c>
      <c r="BJ32" s="3">
        <f>IF(V32&lt;1,"",((AVERAGE(O$14:O32))+(BE32*(AVERAGE(P$14:P32)))))</f>
        <v>6.538736842105263</v>
      </c>
      <c r="BK32" s="61">
        <f>IF(V32&lt;1,"",(BF32*AVERAGE(P$14:P32)))</f>
        <v>0.78636842105263161</v>
      </c>
      <c r="BL32" s="24">
        <f>IF(V32&lt;1,"",(AVERAGE(P$14:P32)))</f>
        <v>3.5263157894736841</v>
      </c>
      <c r="BM32" s="60">
        <f>IF(V32&lt;1,"",(BG32*AVERAGE(P$14:P32)))</f>
        <v>6.2662631578947359</v>
      </c>
      <c r="BP32" s="59">
        <v>24</v>
      </c>
      <c r="BQ32" s="22">
        <v>0.45200000000000001</v>
      </c>
      <c r="BR32" s="22">
        <v>1.548</v>
      </c>
      <c r="BS32" s="22">
        <v>0.157</v>
      </c>
      <c r="BT32" s="3">
        <v>3.895</v>
      </c>
      <c r="BU32" s="58">
        <v>0.98919999999999997</v>
      </c>
      <c r="BV32" s="1"/>
      <c r="BW32" s="1"/>
      <c r="BX32" s="1"/>
    </row>
    <row r="33" spans="1:76" s="3" customFormat="1" ht="12.75" customHeight="1">
      <c r="A33" s="57">
        <v>20</v>
      </c>
      <c r="B33" s="56"/>
      <c r="C33" s="170"/>
      <c r="D33" s="171"/>
      <c r="E33" s="55">
        <v>8</v>
      </c>
      <c r="F33" s="54">
        <v>5</v>
      </c>
      <c r="G33" s="54">
        <v>5</v>
      </c>
      <c r="H33" s="54">
        <v>5</v>
      </c>
      <c r="I33" s="54">
        <v>5</v>
      </c>
      <c r="J33" s="54">
        <v>5</v>
      </c>
      <c r="K33" s="54">
        <v>5</v>
      </c>
      <c r="L33" s="54">
        <v>5</v>
      </c>
      <c r="M33" s="54">
        <v>5</v>
      </c>
      <c r="N33" s="53">
        <v>5</v>
      </c>
      <c r="O33" s="52">
        <f t="shared" si="0"/>
        <v>5.3</v>
      </c>
      <c r="P33" s="51">
        <f t="shared" si="1"/>
        <v>3</v>
      </c>
      <c r="Q33" s="50">
        <f t="shared" si="2"/>
        <v>0.68354388445450054</v>
      </c>
      <c r="R33" s="49">
        <f t="shared" si="3"/>
        <v>0.44430352489504571</v>
      </c>
      <c r="S33" s="48">
        <f t="shared" si="4"/>
        <v>1.3329105746851371</v>
      </c>
      <c r="T33" s="47">
        <f t="shared" si="5"/>
        <v>182561.15189344223</v>
      </c>
      <c r="U33" s="43">
        <f t="shared" si="6"/>
        <v>0.97530924031100563</v>
      </c>
      <c r="V33" s="41">
        <f t="shared" si="41"/>
        <v>10</v>
      </c>
      <c r="W33" s="46">
        <f t="shared" si="7"/>
        <v>0.75</v>
      </c>
      <c r="X33" s="45">
        <f t="shared" si="8"/>
        <v>0</v>
      </c>
      <c r="Y33" s="45">
        <f t="shared" si="9"/>
        <v>0</v>
      </c>
      <c r="Z33" s="45">
        <f t="shared" si="10"/>
        <v>0</v>
      </c>
      <c r="AA33" s="45">
        <f t="shared" si="11"/>
        <v>0</v>
      </c>
      <c r="AB33" s="45">
        <f t="shared" si="12"/>
        <v>0</v>
      </c>
      <c r="AC33" s="45">
        <f t="shared" si="13"/>
        <v>0</v>
      </c>
      <c r="AD33" s="45">
        <f t="shared" si="14"/>
        <v>0</v>
      </c>
      <c r="AE33" s="45">
        <f t="shared" si="15"/>
        <v>0</v>
      </c>
      <c r="AF33" s="44">
        <f t="shared" si="16"/>
        <v>0</v>
      </c>
      <c r="AG33" s="46">
        <f t="shared" si="17"/>
        <v>7.4999999999999956E-2</v>
      </c>
      <c r="AH33" s="45">
        <f t="shared" si="18"/>
        <v>0.75</v>
      </c>
      <c r="AI33" s="45">
        <v>0</v>
      </c>
      <c r="AJ33" s="45">
        <f t="shared" si="19"/>
        <v>-0.25</v>
      </c>
      <c r="AK33" s="46">
        <f t="shared" si="20"/>
        <v>-0.15825000000000022</v>
      </c>
      <c r="AL33" s="45">
        <f t="shared" si="21"/>
        <v>0.11124999999999985</v>
      </c>
      <c r="AM33" s="44">
        <f t="shared" si="22"/>
        <v>0.38074999999999992</v>
      </c>
      <c r="AN33" s="46">
        <f t="shared" si="23"/>
        <v>0.75</v>
      </c>
      <c r="AO33" s="45">
        <v>0</v>
      </c>
      <c r="AP33" s="45">
        <v>1</v>
      </c>
      <c r="AQ33" s="46">
        <f t="shared" si="24"/>
        <v>0.19512499999999999</v>
      </c>
      <c r="AR33" s="45">
        <f t="shared" si="25"/>
        <v>0.875</v>
      </c>
      <c r="AS33" s="44">
        <f t="shared" si="26"/>
        <v>1.554875</v>
      </c>
      <c r="AT33" s="43">
        <f t="shared" si="27"/>
        <v>4.3669999999999991</v>
      </c>
      <c r="AU33" s="42">
        <f t="shared" si="28"/>
        <v>5.4449999999999994</v>
      </c>
      <c r="AV33" s="42">
        <f t="shared" si="29"/>
        <v>6.5229999999999997</v>
      </c>
      <c r="AW33" s="43">
        <f t="shared" si="30"/>
        <v>4</v>
      </c>
      <c r="AX33" s="42">
        <f t="shared" si="31"/>
        <v>5</v>
      </c>
      <c r="AY33" s="41">
        <f t="shared" si="32"/>
        <v>8</v>
      </c>
      <c r="AZ33" s="42">
        <f t="shared" si="33"/>
        <v>0.78049999999999997</v>
      </c>
      <c r="BA33" s="42">
        <f t="shared" si="34"/>
        <v>3.5</v>
      </c>
      <c r="BB33" s="42">
        <f t="shared" si="35"/>
        <v>6.2195</v>
      </c>
      <c r="BC33" s="42">
        <f t="shared" si="36"/>
        <v>3</v>
      </c>
      <c r="BD33" s="41">
        <f t="shared" si="37"/>
        <v>7</v>
      </c>
      <c r="BE33" s="12">
        <f t="shared" si="38"/>
        <v>0.308</v>
      </c>
      <c r="BF33" s="9">
        <f t="shared" si="39"/>
        <v>0.223</v>
      </c>
      <c r="BG33" s="40">
        <f t="shared" si="40"/>
        <v>1.7769999999999999</v>
      </c>
      <c r="BH33" s="12">
        <f>IF(V33&lt;1,"",(AVERAGE(O$14:O33))-(BE33*(AVERAGE(P$14:P33))))</f>
        <v>4.3669999999999991</v>
      </c>
      <c r="BI33" s="9">
        <f>IF(V33&lt;1,"",(AVERAGE(O$14:O33)))</f>
        <v>5.4449999999999994</v>
      </c>
      <c r="BJ33" s="9">
        <f>IF(V33&lt;1,"",((AVERAGE(O$14:O33))+(BE33*(AVERAGE(P$14:P33)))))</f>
        <v>6.5229999999999997</v>
      </c>
      <c r="BK33" s="39">
        <f>IF(V33&lt;1,"",(BF33*AVERAGE(P$14:P33)))</f>
        <v>0.78049999999999997</v>
      </c>
      <c r="BL33" s="38">
        <f>IF(V33&lt;1,"",(AVERAGE(P$14:P33)))</f>
        <v>3.5</v>
      </c>
      <c r="BM33" s="37">
        <f>IF(V33&lt;1,"",(BG33*AVERAGE(P$14:P33)))</f>
        <v>6.2195</v>
      </c>
      <c r="BP33" s="36">
        <v>25</v>
      </c>
      <c r="BQ33" s="35">
        <v>0.45900000000000002</v>
      </c>
      <c r="BR33" s="35">
        <v>1.5409999999999999</v>
      </c>
      <c r="BS33" s="35">
        <v>0.153</v>
      </c>
      <c r="BT33" s="35">
        <v>3.931</v>
      </c>
      <c r="BU33" s="34">
        <v>0.98960000000000004</v>
      </c>
      <c r="BV33" s="1"/>
      <c r="BW33" s="1"/>
      <c r="BX33" s="1"/>
    </row>
    <row r="34" spans="1:76" s="3" customFormat="1" ht="12.75" customHeight="1">
      <c r="A34" s="213" t="s">
        <v>0</v>
      </c>
      <c r="B34" s="214"/>
      <c r="C34" s="214"/>
      <c r="D34" s="214"/>
      <c r="E34" s="214"/>
      <c r="F34" s="214"/>
      <c r="G34" s="214"/>
      <c r="H34" s="214"/>
      <c r="I34" s="214"/>
      <c r="J34" s="214"/>
      <c r="K34" s="214"/>
      <c r="L34" s="214"/>
      <c r="M34" s="214"/>
      <c r="N34" s="214"/>
      <c r="O34" s="33">
        <f>AVERAGE(O14:O33)</f>
        <v>5.4449999999999994</v>
      </c>
      <c r="P34" s="19">
        <f>AVERAGE(P14:P33)</f>
        <v>3.5</v>
      </c>
      <c r="Q34" s="32">
        <f>(C10-A10)/(6*U34)</f>
        <v>0.47965336415076631</v>
      </c>
      <c r="R34" s="31">
        <f>MIN( ((C10-O34)/(3*U34)),((O34-A10)/(3*U34)))</f>
        <v>0.34654955559892853</v>
      </c>
      <c r="S34" s="30">
        <f>IF((R34*3)&gt;9.99,"9.99",(R34*3))</f>
        <v>1.0396486667967855</v>
      </c>
      <c r="T34" s="29">
        <f>(1-((2*NORMSDIST(R34*3))-1))*1000000</f>
        <v>298503.15778431226</v>
      </c>
      <c r="U34" s="28">
        <f>(4*((COUNT(E14:N33))-1))/((4*COUNT(E14:N33))-3)*STDEV(E14:N33)</f>
        <v>1.389892610983789</v>
      </c>
      <c r="V34" s="27">
        <f>MAX(V14:V33)</f>
        <v>10</v>
      </c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5"/>
      <c r="AU34" s="25"/>
      <c r="AV34" s="25"/>
      <c r="AW34" s="25"/>
      <c r="AX34" s="25"/>
      <c r="AY34" s="25"/>
      <c r="AZ34" s="25"/>
      <c r="BA34" s="25"/>
      <c r="BB34" s="25"/>
      <c r="BC34" s="25"/>
      <c r="BD34" s="25"/>
      <c r="BK34" s="24"/>
      <c r="BL34" s="24"/>
      <c r="BM34" s="24"/>
      <c r="BP34" s="23"/>
      <c r="BQ34" s="22"/>
      <c r="BR34" s="22"/>
      <c r="BS34" s="22"/>
      <c r="BT34" s="22"/>
      <c r="BU34" s="2"/>
      <c r="BV34" s="1"/>
      <c r="BW34" s="1"/>
      <c r="BX34" s="1"/>
    </row>
    <row r="35" spans="1:76" s="3" customFormat="1" ht="12.75" customHeight="1">
      <c r="A35" s="21"/>
      <c r="B35" s="18"/>
      <c r="C35" s="18"/>
      <c r="D35" s="18"/>
      <c r="E35" s="19"/>
      <c r="F35" s="20"/>
      <c r="G35" s="19"/>
      <c r="H35" s="19"/>
      <c r="I35" s="19"/>
      <c r="J35" s="19"/>
      <c r="K35" s="19"/>
      <c r="L35" s="19"/>
      <c r="M35" s="19"/>
      <c r="N35" s="19"/>
      <c r="O35" s="18"/>
      <c r="P35" s="18"/>
      <c r="Q35" s="18"/>
      <c r="R35" s="17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</row>
    <row r="36" spans="1:76" s="3" customFormat="1" ht="12.75" customHeight="1">
      <c r="A36" s="14"/>
      <c r="B36" s="6"/>
      <c r="C36" s="6"/>
      <c r="D36" s="6"/>
      <c r="E36" s="6"/>
      <c r="F36" s="6"/>
      <c r="G36" s="6"/>
      <c r="H36" s="6"/>
      <c r="I36" s="6"/>
      <c r="J36" s="6"/>
      <c r="K36" s="6"/>
      <c r="L36" s="4"/>
      <c r="M36" s="4"/>
      <c r="R36" s="15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</row>
    <row r="37" spans="1:76" s="3" customFormat="1" ht="12.75" customHeight="1">
      <c r="A37" s="14"/>
      <c r="B37" s="6"/>
      <c r="C37" s="6"/>
      <c r="D37" s="6"/>
      <c r="E37" s="6"/>
      <c r="F37" s="6"/>
      <c r="G37" s="6"/>
      <c r="H37" s="6"/>
      <c r="I37" s="6"/>
      <c r="J37" s="6"/>
      <c r="K37" s="6"/>
      <c r="L37" s="4"/>
      <c r="M37" s="4"/>
      <c r="R37" s="15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</row>
    <row r="38" spans="1:76" s="3" customFormat="1" ht="12.75" customHeight="1">
      <c r="A38" s="14"/>
      <c r="B38" s="6"/>
      <c r="C38" s="6"/>
      <c r="D38" s="6"/>
      <c r="E38" s="6"/>
      <c r="F38" s="6"/>
      <c r="G38" s="6"/>
      <c r="H38" s="6"/>
      <c r="I38" s="6"/>
      <c r="J38" s="6"/>
      <c r="K38" s="6"/>
      <c r="L38" s="4"/>
      <c r="M38" s="4"/>
      <c r="R38" s="15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</row>
    <row r="39" spans="1:76" s="3" customFormat="1" ht="12.75" customHeight="1">
      <c r="A39" s="14"/>
      <c r="B39" s="6"/>
      <c r="C39" s="6"/>
      <c r="D39" s="6"/>
      <c r="E39" s="6"/>
      <c r="F39" s="6"/>
      <c r="G39" s="6"/>
      <c r="H39" s="6"/>
      <c r="I39" s="6"/>
      <c r="J39" s="6"/>
      <c r="K39" s="6"/>
      <c r="L39" s="4"/>
      <c r="M39" s="4"/>
      <c r="R39" s="15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</row>
    <row r="40" spans="1:76" s="3" customFormat="1" ht="12.75" customHeight="1">
      <c r="A40" s="14"/>
      <c r="B40" s="6"/>
      <c r="C40" s="6"/>
      <c r="D40" s="6"/>
      <c r="E40" s="6"/>
      <c r="F40" s="6"/>
      <c r="G40" s="6"/>
      <c r="H40" s="6"/>
      <c r="I40" s="6"/>
      <c r="J40" s="6"/>
      <c r="K40" s="6"/>
      <c r="L40" s="4"/>
      <c r="M40" s="4"/>
      <c r="R40" s="15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</row>
    <row r="41" spans="1:76" s="3" customFormat="1" ht="12.75" customHeight="1">
      <c r="A41" s="14"/>
      <c r="B41" s="6"/>
      <c r="C41" s="6"/>
      <c r="D41" s="6"/>
      <c r="E41" s="6"/>
      <c r="F41" s="6"/>
      <c r="G41" s="6"/>
      <c r="H41" s="6"/>
      <c r="I41" s="6"/>
      <c r="J41" s="6"/>
      <c r="K41" s="6"/>
      <c r="L41" s="4"/>
      <c r="M41" s="4"/>
      <c r="R41" s="15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</row>
    <row r="42" spans="1:76" s="3" customFormat="1" ht="12.75" customHeight="1">
      <c r="A42" s="14"/>
      <c r="B42" s="6"/>
      <c r="C42" s="6"/>
      <c r="D42" s="6"/>
      <c r="E42" s="6"/>
      <c r="F42" s="6"/>
      <c r="G42" s="6"/>
      <c r="H42" s="6"/>
      <c r="I42" s="6"/>
      <c r="J42" s="6"/>
      <c r="K42" s="6"/>
      <c r="L42" s="4"/>
      <c r="M42" s="4"/>
      <c r="R42" s="15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</row>
    <row r="43" spans="1:76" s="3" customFormat="1" ht="12.75" customHeight="1">
      <c r="A43" s="14"/>
      <c r="B43" s="6"/>
      <c r="C43" s="6"/>
      <c r="D43" s="6"/>
      <c r="E43" s="6"/>
      <c r="F43" s="6"/>
      <c r="G43" s="6"/>
      <c r="H43" s="6"/>
      <c r="I43" s="6"/>
      <c r="J43" s="6"/>
      <c r="K43" s="6"/>
      <c r="L43" s="4"/>
      <c r="M43" s="4"/>
      <c r="R43" s="15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</row>
    <row r="44" spans="1:76" s="3" customFormat="1" ht="12.75" customHeight="1">
      <c r="A44" s="14"/>
      <c r="B44" s="6"/>
      <c r="C44" s="6"/>
      <c r="D44" s="6"/>
      <c r="E44" s="6"/>
      <c r="F44" s="6"/>
      <c r="G44" s="6"/>
      <c r="H44" s="6"/>
      <c r="I44" s="6"/>
      <c r="J44" s="6"/>
      <c r="K44" s="6"/>
      <c r="L44" s="4"/>
      <c r="M44" s="4"/>
      <c r="R44" s="15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</row>
    <row r="45" spans="1:76" s="3" customFormat="1" ht="12.75" customHeight="1">
      <c r="A45" s="14"/>
      <c r="B45" s="6"/>
      <c r="C45" s="6"/>
      <c r="D45" s="6"/>
      <c r="E45" s="6"/>
      <c r="F45" s="6"/>
      <c r="G45" s="6"/>
      <c r="H45" s="6"/>
      <c r="I45" s="6"/>
      <c r="J45" s="6"/>
      <c r="K45" s="6"/>
      <c r="L45" s="4"/>
      <c r="M45" s="4"/>
      <c r="R45" s="15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</row>
    <row r="46" spans="1:76" s="3" customFormat="1" ht="12.75" customHeight="1">
      <c r="A46" s="14"/>
      <c r="B46" s="6"/>
      <c r="C46" s="6"/>
      <c r="D46" s="6"/>
      <c r="E46" s="6"/>
      <c r="F46" s="6"/>
      <c r="G46" s="6"/>
      <c r="H46" s="6"/>
      <c r="I46" s="6"/>
      <c r="J46" s="6"/>
      <c r="K46" s="6"/>
      <c r="L46" s="4"/>
      <c r="M46" s="4"/>
      <c r="R46" s="15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</row>
    <row r="47" spans="1:76" s="3" customFormat="1" ht="12.75" customHeight="1">
      <c r="A47" s="14"/>
      <c r="B47" s="6"/>
      <c r="C47" s="6"/>
      <c r="D47" s="6"/>
      <c r="E47" s="6"/>
      <c r="F47" s="6"/>
      <c r="G47" s="6"/>
      <c r="H47" s="6"/>
      <c r="I47" s="6"/>
      <c r="J47" s="6"/>
      <c r="K47" s="6"/>
      <c r="L47" s="4"/>
      <c r="M47" s="4"/>
      <c r="R47" s="15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</row>
    <row r="48" spans="1:76" s="3" customFormat="1" ht="12.75" customHeight="1">
      <c r="A48" s="14"/>
      <c r="B48" s="6"/>
      <c r="C48" s="6"/>
      <c r="D48" s="6"/>
      <c r="E48" s="6"/>
      <c r="F48" s="6"/>
      <c r="G48" s="6"/>
      <c r="H48" s="6"/>
      <c r="I48" s="6"/>
      <c r="J48" s="6"/>
      <c r="K48" s="6"/>
      <c r="L48" s="4"/>
      <c r="M48" s="4"/>
      <c r="R48" s="15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</row>
    <row r="49" spans="1:56" s="3" customFormat="1" ht="12.75" customHeight="1">
      <c r="A49" s="14"/>
      <c r="B49" s="6"/>
      <c r="C49" s="6"/>
      <c r="D49" s="6"/>
      <c r="E49" s="6"/>
      <c r="F49" s="6"/>
      <c r="G49" s="6"/>
      <c r="H49" s="6"/>
      <c r="I49" s="6"/>
      <c r="J49" s="6"/>
      <c r="K49" s="6"/>
      <c r="L49" s="4"/>
      <c r="M49" s="4"/>
      <c r="R49" s="15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</row>
    <row r="50" spans="1:56" s="3" customFormat="1" ht="12.75" customHeight="1">
      <c r="A50" s="14"/>
      <c r="B50" s="6"/>
      <c r="C50" s="6"/>
      <c r="D50" s="6"/>
      <c r="E50" s="6"/>
      <c r="F50" s="6"/>
      <c r="G50" s="6"/>
      <c r="H50" s="6"/>
      <c r="I50" s="6"/>
      <c r="J50" s="6"/>
      <c r="K50" s="6"/>
      <c r="L50" s="4"/>
      <c r="M50" s="4"/>
      <c r="R50" s="15"/>
    </row>
    <row r="51" spans="1:56" s="3" customFormat="1" ht="12.75" customHeight="1">
      <c r="A51" s="14"/>
      <c r="B51" s="6"/>
      <c r="C51" s="6"/>
      <c r="D51" s="6"/>
      <c r="E51" s="6"/>
      <c r="F51" s="6"/>
      <c r="G51" s="6"/>
      <c r="H51" s="6"/>
      <c r="I51" s="6"/>
      <c r="J51" s="6"/>
      <c r="K51" s="6"/>
      <c r="L51" s="4"/>
      <c r="M51" s="4"/>
      <c r="R51" s="15"/>
    </row>
    <row r="52" spans="1:56" s="3" customFormat="1" ht="12.75" customHeight="1">
      <c r="A52" s="14"/>
      <c r="B52" s="6"/>
      <c r="C52" s="6"/>
      <c r="D52" s="6"/>
      <c r="E52" s="6"/>
      <c r="F52" s="6"/>
      <c r="G52" s="6"/>
      <c r="H52" s="6"/>
      <c r="I52" s="6"/>
      <c r="J52" s="6"/>
      <c r="K52" s="6"/>
      <c r="L52" s="4"/>
      <c r="M52" s="4"/>
      <c r="R52" s="15"/>
    </row>
    <row r="53" spans="1:56" s="3" customFormat="1" ht="12.75" customHeight="1">
      <c r="A53" s="14"/>
      <c r="B53" s="6"/>
      <c r="C53" s="6"/>
      <c r="D53" s="6"/>
      <c r="E53" s="6"/>
      <c r="F53" s="6"/>
      <c r="G53" s="6"/>
      <c r="H53" s="6"/>
      <c r="I53" s="6"/>
      <c r="J53" s="6"/>
      <c r="K53" s="6"/>
      <c r="L53" s="4"/>
      <c r="M53" s="4"/>
      <c r="R53" s="15"/>
    </row>
    <row r="54" spans="1:56" s="3" customFormat="1" ht="12.75" customHeight="1">
      <c r="A54" s="14"/>
      <c r="B54" s="6"/>
      <c r="C54" s="6"/>
      <c r="D54" s="6"/>
      <c r="E54" s="6"/>
      <c r="F54" s="6"/>
      <c r="G54" s="6"/>
      <c r="H54" s="6"/>
      <c r="I54" s="6"/>
      <c r="J54" s="6"/>
      <c r="K54" s="6"/>
      <c r="L54" s="4"/>
      <c r="M54" s="4"/>
      <c r="R54" s="15"/>
    </row>
    <row r="55" spans="1:56" s="3" customFormat="1" ht="12.75" customHeight="1">
      <c r="A55" s="14"/>
      <c r="B55" s="6"/>
      <c r="C55" s="6"/>
      <c r="D55" s="6"/>
      <c r="E55" s="6"/>
      <c r="F55" s="6"/>
      <c r="G55" s="6"/>
      <c r="H55" s="6"/>
      <c r="I55" s="6"/>
      <c r="J55" s="6"/>
      <c r="K55" s="6"/>
      <c r="L55" s="4"/>
      <c r="M55" s="4"/>
      <c r="P55" s="2"/>
      <c r="Q55" s="2"/>
      <c r="R55" s="13"/>
      <c r="S55" s="5"/>
      <c r="T55" s="5"/>
      <c r="U55" s="5"/>
      <c r="V55" s="5"/>
      <c r="X55" s="5"/>
      <c r="Y55" s="5"/>
    </row>
    <row r="56" spans="1:56" s="3" customFormat="1" ht="12.75" customHeight="1">
      <c r="A56" s="14"/>
      <c r="B56" s="6"/>
      <c r="C56" s="6"/>
      <c r="D56" s="6"/>
      <c r="E56" s="6"/>
      <c r="F56" s="6"/>
      <c r="G56" s="6"/>
      <c r="H56" s="6"/>
      <c r="I56" s="6"/>
      <c r="J56" s="6"/>
      <c r="K56" s="6"/>
      <c r="L56" s="4"/>
      <c r="M56" s="4"/>
      <c r="P56" s="2"/>
      <c r="Q56" s="2"/>
      <c r="R56" s="13"/>
      <c r="S56" s="5"/>
      <c r="T56" s="5"/>
      <c r="U56" s="5"/>
      <c r="V56" s="5"/>
      <c r="X56" s="5"/>
      <c r="Y56" s="5"/>
    </row>
    <row r="57" spans="1:56" s="3" customFormat="1" ht="12.75" customHeight="1">
      <c r="A57" s="12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0"/>
      <c r="M57" s="10"/>
      <c r="N57" s="9"/>
      <c r="O57" s="9"/>
      <c r="P57" s="8"/>
      <c r="Q57" s="8"/>
      <c r="R57" s="7"/>
      <c r="S57" s="5"/>
      <c r="T57" s="5"/>
      <c r="U57" s="5"/>
      <c r="V57" s="5"/>
      <c r="X57" s="5"/>
      <c r="Y57" s="5"/>
    </row>
    <row r="58" spans="1:56" s="3" customFormat="1" ht="12.75" customHeight="1">
      <c r="B58" s="6"/>
      <c r="C58" s="6"/>
      <c r="D58" s="6"/>
      <c r="E58" s="6"/>
      <c r="F58" s="6"/>
      <c r="G58" s="6"/>
      <c r="H58" s="6"/>
      <c r="I58" s="6"/>
      <c r="J58" s="6"/>
      <c r="K58" s="6"/>
      <c r="L58" s="4"/>
      <c r="M58" s="4"/>
      <c r="P58" s="2"/>
      <c r="Q58" s="2"/>
      <c r="R58" s="5"/>
      <c r="S58" s="5"/>
      <c r="T58" s="5"/>
      <c r="U58" s="5"/>
      <c r="V58" s="5"/>
      <c r="X58" s="5"/>
      <c r="Y58" s="5"/>
    </row>
    <row r="59" spans="1:56" s="3" customFormat="1" ht="12.75" customHeight="1">
      <c r="B59" s="6"/>
      <c r="C59" s="6"/>
      <c r="D59" s="6"/>
      <c r="E59" s="6"/>
      <c r="F59" s="6"/>
      <c r="G59" s="6"/>
      <c r="H59" s="6"/>
      <c r="I59" s="6"/>
      <c r="J59" s="6"/>
      <c r="K59" s="6"/>
      <c r="L59" s="4"/>
      <c r="M59" s="4"/>
      <c r="P59" s="2"/>
      <c r="Q59" s="2"/>
      <c r="R59" s="5"/>
      <c r="S59" s="5"/>
      <c r="T59" s="5"/>
      <c r="U59" s="5"/>
      <c r="V59" s="5"/>
      <c r="X59" s="5"/>
      <c r="Y59" s="5"/>
    </row>
    <row r="60" spans="1:56" s="3" customFormat="1" ht="12.75" customHeight="1">
      <c r="B60" s="6"/>
      <c r="C60" s="6"/>
      <c r="D60" s="6"/>
      <c r="E60" s="6"/>
      <c r="F60" s="6"/>
      <c r="G60" s="6"/>
      <c r="H60" s="6"/>
      <c r="I60" s="6"/>
      <c r="J60" s="6"/>
      <c r="K60" s="6"/>
      <c r="L60" s="4"/>
      <c r="M60" s="4"/>
      <c r="P60" s="2"/>
      <c r="Q60" s="2"/>
      <c r="R60" s="5"/>
      <c r="S60" s="5"/>
      <c r="T60" s="5"/>
      <c r="U60" s="5"/>
      <c r="V60" s="5"/>
      <c r="X60" s="5"/>
      <c r="Y60" s="5"/>
    </row>
    <row r="61" spans="1:56" s="3" customFormat="1" ht="12.75" customHeight="1">
      <c r="F61" s="4"/>
      <c r="G61" s="4"/>
      <c r="H61" s="4"/>
      <c r="I61" s="4"/>
      <c r="J61" s="4"/>
      <c r="K61" s="4"/>
      <c r="L61" s="4"/>
      <c r="M61" s="4"/>
    </row>
    <row r="62" spans="1:56" s="3" customFormat="1" ht="12.75" customHeight="1"/>
    <row r="63" spans="1:56" s="3" customFormat="1" ht="12.75" customHeight="1"/>
    <row r="64" spans="1:56" s="3" customFormat="1" ht="12.75" customHeight="1"/>
    <row r="65" s="3" customFormat="1" ht="12.75" customHeight="1"/>
    <row r="66" s="3" customFormat="1" ht="12.75" customHeight="1"/>
    <row r="67" s="3" customFormat="1" ht="12.75" customHeight="1"/>
    <row r="68" s="3" customFormat="1" ht="12.75" customHeight="1"/>
    <row r="69" s="3" customFormat="1" ht="12.75" customHeight="1"/>
    <row r="70" s="3" customFormat="1" ht="12.75" customHeight="1"/>
    <row r="97" spans="6:6" ht="12.75" customHeight="1">
      <c r="F97" s="2"/>
    </row>
    <row r="98" spans="6:6" ht="12.75" customHeight="1">
      <c r="F98" s="2"/>
    </row>
  </sheetData>
  <mergeCells count="63">
    <mergeCell ref="C33:D33"/>
    <mergeCell ref="C28:D28"/>
    <mergeCell ref="C29:D29"/>
    <mergeCell ref="C30:D30"/>
    <mergeCell ref="A34:N34"/>
    <mergeCell ref="C31:D31"/>
    <mergeCell ref="C32:D32"/>
    <mergeCell ref="W11:AF11"/>
    <mergeCell ref="G4:I4"/>
    <mergeCell ref="Q4:R4"/>
    <mergeCell ref="C22:D22"/>
    <mergeCell ref="C26:D26"/>
    <mergeCell ref="C23:D23"/>
    <mergeCell ref="C20:D20"/>
    <mergeCell ref="C21:D21"/>
    <mergeCell ref="C14:D14"/>
    <mergeCell ref="C15:D15"/>
    <mergeCell ref="C13:D13"/>
    <mergeCell ref="C16:D16"/>
    <mergeCell ref="C18:D18"/>
    <mergeCell ref="C24:D24"/>
    <mergeCell ref="C25:D25"/>
    <mergeCell ref="A5:C5"/>
    <mergeCell ref="E1:N2"/>
    <mergeCell ref="O3:R3"/>
    <mergeCell ref="F8:H8"/>
    <mergeCell ref="D5:F5"/>
    <mergeCell ref="K5:M5"/>
    <mergeCell ref="N5:P5"/>
    <mergeCell ref="F7:K7"/>
    <mergeCell ref="M7:R7"/>
    <mergeCell ref="Q5:R5"/>
    <mergeCell ref="G5:I5"/>
    <mergeCell ref="D4:F4"/>
    <mergeCell ref="K4:M4"/>
    <mergeCell ref="N4:P4"/>
    <mergeCell ref="U12:V12"/>
    <mergeCell ref="I8:K8"/>
    <mergeCell ref="M8:O8"/>
    <mergeCell ref="S12:T12"/>
    <mergeCell ref="O12:P12"/>
    <mergeCell ref="Q12:R12"/>
    <mergeCell ref="P8:R8"/>
    <mergeCell ref="A12:N12"/>
    <mergeCell ref="A3:C3"/>
    <mergeCell ref="A8:C8"/>
    <mergeCell ref="C19:D19"/>
    <mergeCell ref="A7:B7"/>
    <mergeCell ref="C27:D27"/>
    <mergeCell ref="A4:C4"/>
    <mergeCell ref="C17:D17"/>
    <mergeCell ref="AZ12:BD12"/>
    <mergeCell ref="AT11:BD11"/>
    <mergeCell ref="BW8:BX8"/>
    <mergeCell ref="AG12:AM12"/>
    <mergeCell ref="BE12:BG12"/>
    <mergeCell ref="BH11:BM11"/>
    <mergeCell ref="AG11:AS11"/>
    <mergeCell ref="AN12:AS12"/>
    <mergeCell ref="BP8:BU8"/>
    <mergeCell ref="BH12:BJ12"/>
    <mergeCell ref="BK12:BM12"/>
    <mergeCell ref="AT12:AY12"/>
  </mergeCells>
  <conditionalFormatting sqref="O14:O33">
    <cfRule type="cellIs" dxfId="8" priority="9" stopIfTrue="1" operator="notBetween">
      <formula>BJ14</formula>
      <formula>BH14</formula>
    </cfRule>
  </conditionalFormatting>
  <conditionalFormatting sqref="P14:P33">
    <cfRule type="cellIs" dxfId="7" priority="8" stopIfTrue="1" operator="notBetween">
      <formula>BM14</formula>
      <formula>BK14</formula>
    </cfRule>
  </conditionalFormatting>
  <conditionalFormatting sqref="F7:K8">
    <cfRule type="cellIs" dxfId="6" priority="7" stopIfTrue="1" operator="greaterThan">
      <formula>0</formula>
    </cfRule>
  </conditionalFormatting>
  <conditionalFormatting sqref="O12:R12 M7:R8">
    <cfRule type="cellIs" dxfId="5" priority="6" stopIfTrue="1" operator="greaterThan">
      <formula>0</formula>
    </cfRule>
  </conditionalFormatting>
  <conditionalFormatting sqref="C8 A7:B8">
    <cfRule type="cellIs" dxfId="4" priority="5" stopIfTrue="1" operator="greaterThan">
      <formula>0</formula>
    </cfRule>
  </conditionalFormatting>
  <conditionalFormatting sqref="Q14:Q33">
    <cfRule type="cellIs" dxfId="3" priority="4" stopIfTrue="1" operator="lessThan">
      <formula>2</formula>
    </cfRule>
  </conditionalFormatting>
  <conditionalFormatting sqref="R14:R33">
    <cfRule type="cellIs" dxfId="2" priority="3" stopIfTrue="1" operator="lessThan">
      <formula>1.5</formula>
    </cfRule>
  </conditionalFormatting>
  <conditionalFormatting sqref="E14:N33">
    <cfRule type="cellIs" dxfId="1" priority="2" stopIfTrue="1" operator="notBetween">
      <formula>$C$10</formula>
      <formula>$A$10</formula>
    </cfRule>
  </conditionalFormatting>
  <conditionalFormatting sqref="C7">
    <cfRule type="cellIs" dxfId="0" priority="1" stopIfTrue="1" operator="greaterThan">
      <formula>-1</formula>
    </cfRule>
  </conditionalFormatting>
  <hyperlinks>
    <hyperlink ref="R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XbarR Chart</vt:lpstr>
      <vt:lpstr>Sheet1</vt:lpstr>
      <vt:lpstr>Sheet2</vt:lpstr>
      <vt:lpstr>Sheet3</vt:lpstr>
      <vt:lpstr>'XbarR Chart'!Print_Area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2012-01-18T12:18:14Z</dcterms:created>
  <dcterms:modified xsi:type="dcterms:W3CDTF">2012-01-18T14:34:07Z</dcterms:modified>
</cp:coreProperties>
</file>