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sYahoo" sheetId="11" r:id="rId3"/>
    <sheet name="QuoteDayHistoryYahoo" sheetId="10" r:id="rId4"/>
    <sheet name="StocksYahoo" sheetId="12" r:id="rId5"/>
    <sheet name="FundamentalsYahoo" sheetId="7" r:id="rId6"/>
    <sheet name="FundamentalsDayHistoryYahoo" sheetId="6" r:id="rId7"/>
    <sheet name="OptionsYahoo" sheetId="9" r:id="rId8"/>
    <sheet name="OptionDayHistoryYahoo" sheetId="8" r:id="rId9"/>
    <sheet name="SaveToDB_SQLDebug" sheetId="14" state="veryHidden" r:id="rId10"/>
    <sheet name="SaveToDB_Data" sheetId="15" state="veryHidden" r:id="rId11"/>
    <sheet name="SaveToDB_LoadedID" sheetId="16" state="veryHidden" r:id="rId12"/>
    <sheet name="SaveToDB_UpdatedID" sheetId="17" state="veryHidden" r:id="rId13"/>
  </sheets>
  <definedNames>
    <definedName name="ExternalData_1" localSheetId="6" hidden="1">FundamentalsDayHistoryYahoo!$B$3:$BA$10</definedName>
    <definedName name="ExternalData_1" localSheetId="5" hidden="1">FundamentalsYahoo!$B$3:$BA$10</definedName>
    <definedName name="ExternalData_1" localSheetId="8" hidden="1">OptionDayHistoryYahoo!$B$3:$U$7</definedName>
    <definedName name="ExternalData_1" localSheetId="7" hidden="1">OptionsYahoo!$B$3:$U$7</definedName>
    <definedName name="ExternalData_1" localSheetId="3" hidden="1">QuoteDayHistoryYahoo!$B$3:$N$10</definedName>
    <definedName name="ExternalData_1" localSheetId="2" hidden="1">QuotesYahoo!$B$3:$N$10</definedName>
    <definedName name="ExternalData_1" localSheetId="4" hidden="1">StocksYahoo!$B$3:$J$10</definedName>
    <definedName name="ExternalData_1" localSheetId="1" hidden="1">Tables!$B$3:$N$10</definedName>
    <definedName name="_xlnm.Print_Area" localSheetId="6">FundamentalsDayHistoryYahoo!$B$3:$BA$10</definedName>
    <definedName name="_xlnm.Print_Area" localSheetId="5">FundamentalsYahoo!$B$3:$BA$10</definedName>
    <definedName name="_xlnm.Print_Area" localSheetId="8">OptionDayHistoryYahoo!$B$3:$U$7</definedName>
    <definedName name="_xlnm.Print_Area" localSheetId="7">OptionsYahoo!$B$3:$U$7</definedName>
    <definedName name="_xlnm.Print_Area" localSheetId="3">QuoteDayHistoryYahoo!$B$3:$N$10</definedName>
    <definedName name="_xlnm.Print_Area" localSheetId="2">QuotesYahoo!$B$3:$N$10</definedName>
    <definedName name="_xlnm.Print_Area" localSheetId="4">StocksYahoo!$B$3:$J$10</definedName>
    <definedName name="_xlnm.Print_Area" localSheetId="1">Tables!$B$3:$N$10</definedName>
  </definedNames>
  <calcPr calcId="145621"/>
</workbook>
</file>

<file path=xl/calcChain.xml><?xml version="1.0" encoding="utf-8"?>
<calcChain xmlns="http://schemas.openxmlformats.org/spreadsheetml/2006/main">
  <c r="D4" i="12" l="1"/>
  <c r="E4" i="12"/>
  <c r="N4" i="10"/>
  <c r="M5" i="10"/>
  <c r="L6" i="10"/>
  <c r="K7" i="10"/>
  <c r="J8" i="10"/>
  <c r="I9" i="10"/>
  <c r="H10" i="10"/>
  <c r="F4" i="10"/>
  <c r="E5" i="10"/>
  <c r="N6" i="1"/>
  <c r="M7" i="1"/>
  <c r="L8" i="1"/>
  <c r="K9" i="1"/>
  <c r="J10" i="1"/>
  <c r="H4" i="1"/>
  <c r="G5" i="1"/>
  <c r="F8" i="1"/>
  <c r="E5" i="1"/>
  <c r="D8" i="1"/>
  <c r="AO5" i="7"/>
  <c r="U5" i="6"/>
  <c r="H6" i="11"/>
  <c r="AV5" i="7"/>
  <c r="AT8" i="6"/>
  <c r="O7" i="7"/>
  <c r="AP7" i="7"/>
  <c r="V4" i="7"/>
  <c r="AT9" i="7"/>
  <c r="L9" i="11"/>
  <c r="AJ4" i="7"/>
  <c r="H6" i="7"/>
  <c r="Y6" i="7"/>
  <c r="AL10" i="6"/>
  <c r="AM5" i="6"/>
  <c r="J10" i="7"/>
  <c r="S10" i="6"/>
  <c r="H6" i="8"/>
  <c r="AF6" i="7"/>
  <c r="M4" i="6"/>
  <c r="O9" i="6"/>
  <c r="I10" i="7"/>
  <c r="N10" i="6"/>
  <c r="AU7" i="7"/>
  <c r="AJ7" i="6"/>
  <c r="S7" i="9"/>
  <c r="AY6" i="6"/>
  <c r="N4" i="8"/>
  <c r="AJ8" i="7"/>
  <c r="AU6" i="6"/>
  <c r="P5" i="7"/>
  <c r="E9" i="6"/>
  <c r="AE10" i="6"/>
  <c r="H7" i="9"/>
  <c r="S7" i="6"/>
  <c r="F5" i="9"/>
  <c r="AP10" i="7"/>
  <c r="D5" i="9"/>
  <c r="U8" i="7"/>
  <c r="R4" i="6"/>
  <c r="AR5" i="6"/>
  <c r="Q8" i="7"/>
  <c r="L5" i="11"/>
  <c r="T5" i="8"/>
  <c r="R5" i="9"/>
  <c r="Z4" i="6"/>
  <c r="Y8" i="7"/>
  <c r="J7" i="8"/>
  <c r="AT10" i="6"/>
  <c r="G7" i="9"/>
  <c r="M6" i="8"/>
  <c r="AA4" i="7"/>
  <c r="U7" i="6"/>
  <c r="H4" i="6"/>
  <c r="AS8" i="7"/>
  <c r="O5" i="8"/>
  <c r="P10" i="7"/>
  <c r="U5" i="7"/>
  <c r="J5" i="7"/>
  <c r="O8" i="7"/>
  <c r="I8" i="12"/>
  <c r="BA5" i="6"/>
  <c r="Z10" i="6"/>
  <c r="AR9" i="7"/>
  <c r="AU10" i="6"/>
  <c r="Q9" i="6"/>
  <c r="AZ8" i="7"/>
  <c r="T9" i="7"/>
  <c r="AQ6" i="6"/>
  <c r="K7" i="11"/>
  <c r="AK5" i="7"/>
  <c r="AG6" i="6"/>
  <c r="E5" i="11"/>
  <c r="I6" i="12"/>
  <c r="R5" i="6"/>
  <c r="O7" i="8"/>
  <c r="AX10" i="6"/>
  <c r="AD8" i="6"/>
  <c r="AC6" i="7"/>
  <c r="X9" i="6"/>
  <c r="AS7" i="7"/>
  <c r="O6" i="7"/>
  <c r="AM10" i="6"/>
  <c r="F9" i="11"/>
  <c r="M10" i="7"/>
  <c r="W9" i="7"/>
  <c r="I6" i="7"/>
  <c r="L7" i="6"/>
  <c r="AS8" i="6"/>
  <c r="Z6" i="6"/>
  <c r="M7" i="9"/>
  <c r="AA6" i="7"/>
  <c r="N9" i="7"/>
  <c r="K9" i="11"/>
  <c r="AB7" i="6"/>
  <c r="H7" i="6"/>
  <c r="M7" i="8"/>
  <c r="L7" i="11"/>
  <c r="Q7" i="7"/>
  <c r="AT5" i="6"/>
  <c r="H4" i="8"/>
  <c r="G8" i="7"/>
  <c r="F6" i="11"/>
  <c r="AL4" i="6"/>
  <c r="N5" i="10"/>
  <c r="M6" i="10"/>
  <c r="L7" i="10"/>
  <c r="K8" i="10"/>
  <c r="J9" i="10"/>
  <c r="I10" i="10"/>
  <c r="G4" i="10"/>
  <c r="F5" i="10"/>
  <c r="E6" i="10"/>
  <c r="N7" i="1"/>
  <c r="M8" i="1"/>
  <c r="L9" i="1"/>
  <c r="K10" i="1"/>
  <c r="I4" i="1"/>
  <c r="H5" i="1"/>
  <c r="G6" i="1"/>
  <c r="F9" i="1"/>
  <c r="E6" i="1"/>
  <c r="D9" i="1"/>
  <c r="AL5" i="7"/>
  <c r="L8" i="6"/>
  <c r="P5" i="8"/>
  <c r="AK8" i="7"/>
  <c r="AH4" i="6"/>
  <c r="E5" i="8"/>
  <c r="AG8" i="7"/>
  <c r="G7" i="7"/>
  <c r="H7" i="12"/>
  <c r="E4" i="8"/>
  <c r="R6" i="7"/>
  <c r="AE8" i="7"/>
  <c r="AL9" i="7"/>
  <c r="AX4" i="7"/>
  <c r="AC7" i="6"/>
  <c r="G7" i="12"/>
  <c r="I4" i="6"/>
  <c r="H6" i="9"/>
  <c r="W7" i="7"/>
  <c r="AZ5" i="7"/>
  <c r="AP9" i="7"/>
  <c r="L6" i="11"/>
  <c r="AO9" i="7"/>
  <c r="E7" i="9"/>
  <c r="AE9" i="7"/>
  <c r="K8" i="6"/>
  <c r="AX7" i="6"/>
  <c r="N4" i="9"/>
  <c r="AA9" i="7"/>
  <c r="AJ9" i="6"/>
  <c r="G6" i="7"/>
  <c r="AP4" i="7"/>
  <c r="U4" i="6"/>
  <c r="AE9" i="6"/>
  <c r="AE4" i="7"/>
  <c r="AD10" i="6"/>
  <c r="F4" i="8"/>
  <c r="AE5" i="7"/>
  <c r="AQ10" i="6"/>
  <c r="L9" i="7"/>
  <c r="I5" i="6"/>
  <c r="AI6" i="6"/>
  <c r="H7" i="8"/>
  <c r="AG9" i="6"/>
  <c r="D4" i="9"/>
  <c r="AO4" i="6"/>
  <c r="H6" i="6"/>
  <c r="T7" i="9"/>
  <c r="AA5" i="6"/>
  <c r="S4" i="6"/>
  <c r="AQ5" i="7"/>
  <c r="I7" i="12"/>
  <c r="AU8" i="6"/>
  <c r="AY8" i="6"/>
  <c r="AI9" i="7"/>
  <c r="X5" i="7"/>
  <c r="AV9" i="6"/>
  <c r="AD4" i="6"/>
  <c r="J7" i="12"/>
  <c r="E10" i="11"/>
  <c r="H8" i="11"/>
  <c r="G7" i="8"/>
  <c r="BA7" i="7"/>
  <c r="G5" i="6"/>
  <c r="W6" i="7"/>
  <c r="AB5" i="6"/>
  <c r="AX8" i="6"/>
  <c r="AD6" i="7"/>
  <c r="G8" i="12"/>
  <c r="Y8" i="6"/>
  <c r="H10" i="6"/>
  <c r="N4" i="7"/>
  <c r="F9" i="6"/>
  <c r="AC6" i="6"/>
  <c r="AW6" i="6"/>
  <c r="J8" i="7"/>
  <c r="AA8" i="6"/>
  <c r="AI9" i="6"/>
  <c r="AL8" i="7"/>
  <c r="G4" i="9"/>
  <c r="AX9" i="6"/>
  <c r="Z7" i="7"/>
  <c r="T7" i="8"/>
  <c r="T5" i="6"/>
  <c r="AQ4" i="7"/>
  <c r="F4" i="11"/>
  <c r="H6" i="12"/>
  <c r="E4" i="11"/>
  <c r="BA4" i="7"/>
  <c r="F7" i="6"/>
  <c r="H5" i="12"/>
  <c r="AT4" i="7"/>
  <c r="G5" i="12"/>
  <c r="J8" i="11"/>
  <c r="K10" i="11"/>
  <c r="AB7" i="7"/>
  <c r="O6" i="9"/>
  <c r="E6" i="6"/>
  <c r="E5" i="7"/>
  <c r="AW7" i="7"/>
  <c r="K6" i="11"/>
  <c r="AF4" i="7"/>
  <c r="AS6" i="7"/>
  <c r="F9" i="12"/>
  <c r="AI4" i="7"/>
  <c r="F8" i="12"/>
  <c r="N6" i="10"/>
  <c r="M7" i="10"/>
  <c r="L8" i="10"/>
  <c r="K9" i="10"/>
  <c r="J10" i="10"/>
  <c r="H4" i="10"/>
  <c r="G5" i="10"/>
  <c r="F6" i="10"/>
  <c r="E7" i="10"/>
  <c r="N8" i="1"/>
  <c r="M9" i="1"/>
  <c r="L10" i="1"/>
  <c r="J4" i="1"/>
  <c r="I5" i="1"/>
  <c r="H6" i="1"/>
  <c r="G7" i="1"/>
  <c r="F10" i="1"/>
  <c r="E8" i="1"/>
  <c r="D10" i="1"/>
  <c r="D6" i="12"/>
  <c r="AV4" i="7"/>
  <c r="P5" i="9"/>
  <c r="AB9" i="7"/>
  <c r="Y5" i="6"/>
  <c r="E5" i="9"/>
  <c r="X9" i="7"/>
  <c r="J9" i="11"/>
  <c r="N7" i="9"/>
  <c r="AP9" i="6"/>
  <c r="D6" i="7"/>
  <c r="Q6" i="8"/>
  <c r="K6" i="7"/>
  <c r="AO6" i="7"/>
  <c r="T8" i="6"/>
  <c r="G7" i="11"/>
  <c r="AU10" i="7"/>
  <c r="AS9" i="6"/>
  <c r="S6" i="8"/>
  <c r="AO8" i="7"/>
  <c r="T6" i="7"/>
  <c r="O4" i="8"/>
  <c r="X10" i="7"/>
  <c r="AC10" i="6"/>
  <c r="H10" i="12"/>
  <c r="Q10" i="7"/>
  <c r="AN5" i="6"/>
  <c r="AU5" i="6"/>
  <c r="R10" i="7"/>
  <c r="AA10" i="6"/>
  <c r="F6" i="8"/>
  <c r="AE7" i="7"/>
  <c r="L5" i="6"/>
  <c r="L4" i="6"/>
  <c r="E4" i="7"/>
  <c r="AY10" i="6"/>
  <c r="F4" i="9"/>
  <c r="V6" i="7"/>
  <c r="AE6" i="6"/>
  <c r="J5" i="12"/>
  <c r="AU5" i="7"/>
  <c r="Z7" i="6"/>
  <c r="AQ7" i="6"/>
  <c r="AV7" i="7"/>
  <c r="AE5" i="6"/>
  <c r="U10" i="6"/>
  <c r="AH4" i="7"/>
  <c r="S5" i="6"/>
  <c r="AZ4" i="7"/>
  <c r="AP8" i="7"/>
  <c r="G9" i="12"/>
  <c r="H8" i="12"/>
  <c r="AL4" i="7"/>
  <c r="AN7" i="6"/>
  <c r="P4" i="7"/>
  <c r="F7" i="7"/>
  <c r="AC4" i="6"/>
  <c r="M5" i="7"/>
  <c r="E4" i="9"/>
  <c r="AU9" i="6"/>
  <c r="AH5" i="6"/>
  <c r="S8" i="6"/>
  <c r="AY9" i="6"/>
  <c r="AH10" i="7"/>
  <c r="E10" i="7"/>
  <c r="J7" i="6"/>
  <c r="AY5" i="7"/>
  <c r="L8" i="7"/>
  <c r="L6" i="9"/>
  <c r="G8" i="6"/>
  <c r="F6" i="12"/>
  <c r="Y7" i="7"/>
  <c r="L4" i="7"/>
  <c r="Z9" i="6"/>
  <c r="BA9" i="7"/>
  <c r="N9" i="6"/>
  <c r="AR8" i="7"/>
  <c r="T10" i="7"/>
  <c r="R7" i="8"/>
  <c r="AY6" i="7"/>
  <c r="G5" i="7"/>
  <c r="D6" i="9"/>
  <c r="AV9" i="7"/>
  <c r="K4" i="9"/>
  <c r="M4" i="8"/>
  <c r="L4" i="11"/>
  <c r="AU8" i="7"/>
  <c r="AY7" i="7"/>
  <c r="N7" i="7"/>
  <c r="AM8" i="6"/>
  <c r="AX4" i="6"/>
  <c r="Y10" i="7"/>
  <c r="S5" i="8"/>
  <c r="AG10" i="7"/>
  <c r="AE4" i="6"/>
  <c r="AQ7" i="7"/>
  <c r="N9" i="10"/>
  <c r="M10" i="10"/>
  <c r="K4" i="10"/>
  <c r="J5" i="10"/>
  <c r="I6" i="10"/>
  <c r="H7" i="10"/>
  <c r="G8" i="10"/>
  <c r="F9" i="10"/>
  <c r="E10" i="10"/>
  <c r="M4" i="1"/>
  <c r="L5" i="1"/>
  <c r="K6" i="1"/>
  <c r="J7" i="1"/>
  <c r="I8" i="1"/>
  <c r="H9" i="1"/>
  <c r="G10" i="1"/>
  <c r="E4" i="1"/>
  <c r="D7" i="1"/>
  <c r="AO7" i="6"/>
  <c r="AZ8" i="6"/>
  <c r="T8" i="7"/>
  <c r="AC8" i="6"/>
  <c r="F7" i="12"/>
  <c r="AS9" i="7"/>
  <c r="X7" i="6"/>
  <c r="AI5" i="6"/>
  <c r="J7" i="7"/>
  <c r="AQ8" i="7"/>
  <c r="I7" i="9"/>
  <c r="AI5" i="7"/>
  <c r="O4" i="6"/>
  <c r="AY5" i="6"/>
  <c r="P4" i="8"/>
  <c r="AK7" i="7"/>
  <c r="AV5" i="6"/>
  <c r="Q4" i="7"/>
  <c r="O7" i="6"/>
  <c r="AO8" i="6"/>
  <c r="M4" i="7"/>
  <c r="AQ8" i="6"/>
  <c r="K6" i="8"/>
  <c r="Q4" i="9"/>
  <c r="P8" i="7"/>
  <c r="AZ6" i="6"/>
  <c r="P7" i="6"/>
  <c r="AO7" i="7"/>
  <c r="S9" i="6"/>
  <c r="F8" i="11"/>
  <c r="AT7" i="7"/>
  <c r="AF6" i="6"/>
  <c r="Q5" i="9"/>
  <c r="AE10" i="7"/>
  <c r="D5" i="7"/>
  <c r="AS6" i="6"/>
  <c r="AY8" i="7"/>
  <c r="W5" i="6"/>
  <c r="J4" i="11"/>
  <c r="AZ9" i="7"/>
  <c r="AV6" i="6"/>
  <c r="Q5" i="7"/>
  <c r="AR5" i="7"/>
  <c r="AA7" i="7"/>
  <c r="AN6" i="6"/>
  <c r="U7" i="7"/>
  <c r="K10" i="7"/>
  <c r="AH7" i="6"/>
  <c r="V5" i="7"/>
  <c r="I4" i="9"/>
  <c r="I6" i="9"/>
  <c r="AS10" i="6"/>
  <c r="E9" i="7"/>
  <c r="U5" i="9"/>
  <c r="L4" i="8"/>
  <c r="J5" i="9"/>
  <c r="V9" i="6"/>
  <c r="T5" i="7"/>
  <c r="F7" i="8"/>
  <c r="AQ5" i="6"/>
  <c r="AB4" i="7"/>
  <c r="AA4" i="6"/>
  <c r="V9" i="7"/>
  <c r="G10" i="12"/>
  <c r="H5" i="9"/>
  <c r="AW5" i="7"/>
  <c r="AV10" i="6"/>
  <c r="T4" i="9"/>
  <c r="AD7" i="6"/>
  <c r="AT8" i="7"/>
  <c r="AM4" i="6"/>
  <c r="G8" i="11"/>
  <c r="AR7" i="6"/>
  <c r="J9" i="7"/>
  <c r="U9" i="6"/>
  <c r="AS5" i="7"/>
  <c r="N9" i="11"/>
  <c r="G4" i="11"/>
  <c r="X5" i="6"/>
  <c r="P7" i="8"/>
  <c r="E6" i="11"/>
  <c r="L4" i="9"/>
  <c r="Y4" i="6"/>
  <c r="AM7" i="7"/>
  <c r="AB4" i="6"/>
  <c r="AR6" i="6"/>
  <c r="Q7" i="9"/>
  <c r="G10" i="7"/>
  <c r="N5" i="7"/>
  <c r="P4" i="6"/>
  <c r="M5" i="9"/>
  <c r="AP8" i="6"/>
  <c r="AE6" i="7"/>
  <c r="H9" i="12"/>
  <c r="O9" i="7"/>
  <c r="Q6" i="7"/>
  <c r="D9" i="7"/>
  <c r="N10" i="11"/>
  <c r="AB10" i="7"/>
  <c r="AS4" i="7"/>
  <c r="U4" i="8"/>
  <c r="N8" i="7"/>
  <c r="AS4" i="6"/>
  <c r="S6" i="9"/>
  <c r="R7" i="9"/>
  <c r="D8" i="11"/>
  <c r="M4" i="9"/>
  <c r="I10" i="6"/>
  <c r="AL6" i="6"/>
  <c r="N7" i="10"/>
  <c r="L9" i="10"/>
  <c r="I4" i="10"/>
  <c r="G6" i="10"/>
  <c r="E8" i="10"/>
  <c r="M10" i="1"/>
  <c r="J5" i="1"/>
  <c r="H7" i="1"/>
  <c r="F5" i="1"/>
  <c r="AY4" i="6"/>
  <c r="AM5" i="7"/>
  <c r="S10" i="7"/>
  <c r="AP7" i="6"/>
  <c r="Z8" i="6"/>
  <c r="T6" i="6"/>
  <c r="Q10" i="6"/>
  <c r="AL6" i="7"/>
  <c r="N5" i="8"/>
  <c r="AG5" i="6"/>
  <c r="AF9" i="7"/>
  <c r="AU4" i="6"/>
  <c r="J5" i="6"/>
  <c r="AP5" i="7"/>
  <c r="AK7" i="6"/>
  <c r="Q4" i="6"/>
  <c r="V8" i="7"/>
  <c r="AJ6" i="7"/>
  <c r="AO5" i="6"/>
  <c r="M7" i="7"/>
  <c r="N6" i="8"/>
  <c r="Q8" i="6"/>
  <c r="R9" i="7"/>
  <c r="AW4" i="7"/>
  <c r="Y9" i="7"/>
  <c r="L7" i="7"/>
  <c r="AZ7" i="6"/>
  <c r="AX7" i="7"/>
  <c r="T6" i="9"/>
  <c r="O6" i="8"/>
  <c r="V10" i="7"/>
  <c r="W8" i="7"/>
  <c r="O5" i="7"/>
  <c r="AK4" i="7"/>
  <c r="R5" i="8"/>
  <c r="AH7" i="7"/>
  <c r="H9" i="11"/>
  <c r="I8" i="11"/>
  <c r="U7" i="8"/>
  <c r="F5" i="7"/>
  <c r="I7" i="6"/>
  <c r="J5" i="8"/>
  <c r="AC4" i="7"/>
  <c r="AH8" i="6"/>
  <c r="AV8" i="7"/>
  <c r="AZ10" i="6"/>
  <c r="AQ9" i="7"/>
  <c r="E6" i="12"/>
  <c r="U6" i="9"/>
  <c r="H7" i="7"/>
  <c r="AB6" i="6"/>
  <c r="K5" i="7"/>
  <c r="I5" i="12"/>
  <c r="AA6" i="6"/>
  <c r="AH5" i="7"/>
  <c r="W9" i="6"/>
  <c r="N5" i="6"/>
  <c r="L7" i="8"/>
  <c r="G4" i="7"/>
  <c r="M6" i="6"/>
  <c r="AD4" i="7"/>
  <c r="AX10" i="7"/>
  <c r="K4" i="11"/>
  <c r="P6" i="9"/>
  <c r="AF7" i="6"/>
  <c r="AK5" i="6"/>
  <c r="U5" i="8"/>
  <c r="E6" i="9"/>
  <c r="N8" i="10"/>
  <c r="L10" i="10"/>
  <c r="I5" i="10"/>
  <c r="G7" i="10"/>
  <c r="E9" i="10"/>
  <c r="L4" i="1"/>
  <c r="J6" i="1"/>
  <c r="H8" i="1"/>
  <c r="F7" i="1"/>
  <c r="AX5" i="6"/>
  <c r="AC7" i="7"/>
  <c r="I4" i="7"/>
  <c r="AG8" i="6"/>
  <c r="AN8" i="7"/>
  <c r="AW6" i="7"/>
  <c r="U6" i="7"/>
  <c r="D7" i="12"/>
  <c r="N5" i="9"/>
  <c r="X8" i="6"/>
  <c r="W10" i="7"/>
  <c r="AH9" i="7"/>
  <c r="AH6" i="7"/>
  <c r="S5" i="7"/>
  <c r="AB8" i="6"/>
  <c r="H5" i="6"/>
  <c r="Q5" i="8"/>
  <c r="R8" i="7"/>
  <c r="AL5" i="6"/>
  <c r="D8" i="7"/>
  <c r="N6" i="9"/>
  <c r="H9" i="6"/>
  <c r="AY7" i="6"/>
  <c r="AC8" i="7"/>
  <c r="AI7" i="6"/>
  <c r="I10" i="11"/>
  <c r="AM4" i="7"/>
  <c r="H4" i="12"/>
  <c r="AP4" i="6"/>
  <c r="N4" i="6"/>
  <c r="H7" i="11"/>
  <c r="AK10" i="6"/>
  <c r="D10" i="11"/>
  <c r="S6" i="7"/>
  <c r="AZ9" i="6"/>
  <c r="P9" i="7"/>
  <c r="Q4" i="8"/>
  <c r="M5" i="11"/>
  <c r="BA10" i="7"/>
  <c r="H5" i="8"/>
  <c r="K7" i="7"/>
  <c r="M4" i="10"/>
  <c r="K6" i="10"/>
  <c r="I8" i="10"/>
  <c r="G10" i="10"/>
  <c r="N5" i="1"/>
  <c r="L7" i="1"/>
  <c r="J9" i="1"/>
  <c r="G4" i="1"/>
  <c r="E9" i="1"/>
  <c r="AY10" i="7"/>
  <c r="I9" i="12"/>
  <c r="J6" i="9"/>
  <c r="E4" i="6"/>
  <c r="AZ4" i="6"/>
  <c r="M10" i="6"/>
  <c r="V6" i="6"/>
  <c r="AV4" i="6"/>
  <c r="AB9" i="6"/>
  <c r="AR10" i="7"/>
  <c r="AG7" i="6"/>
  <c r="AF8" i="6"/>
  <c r="F7" i="11"/>
  <c r="X7" i="7"/>
  <c r="AT6" i="7"/>
  <c r="Y4" i="7"/>
  <c r="AN9" i="6"/>
  <c r="AO9" i="6"/>
  <c r="AN7" i="7"/>
  <c r="T5" i="9"/>
  <c r="AB10" i="6"/>
  <c r="Z8" i="7"/>
  <c r="AL10" i="7"/>
  <c r="AU7" i="6"/>
  <c r="D7" i="7"/>
  <c r="AP6" i="7"/>
  <c r="Y6" i="6"/>
  <c r="AA9" i="6"/>
  <c r="AD8" i="7"/>
  <c r="AU4" i="7"/>
  <c r="AI8" i="7"/>
  <c r="N8" i="11"/>
  <c r="O6" i="6"/>
  <c r="N10" i="7"/>
  <c r="AM6" i="7"/>
  <c r="I9" i="7"/>
  <c r="E7" i="8"/>
  <c r="F10" i="7"/>
  <c r="F5" i="11"/>
  <c r="R6" i="8"/>
  <c r="I9" i="6"/>
  <c r="AG4" i="7"/>
  <c r="I4" i="12"/>
  <c r="AW9" i="7"/>
  <c r="H10" i="7"/>
  <c r="AB5" i="7"/>
  <c r="K5" i="9"/>
  <c r="G5" i="9"/>
  <c r="I7" i="11"/>
  <c r="Q9" i="7"/>
  <c r="D6" i="11"/>
  <c r="AO6" i="6"/>
  <c r="I8" i="7"/>
  <c r="M10" i="11"/>
  <c r="AJ4" i="6"/>
  <c r="J6" i="11"/>
  <c r="W5" i="7"/>
  <c r="N7" i="8"/>
  <c r="J8" i="12"/>
  <c r="N6" i="7"/>
  <c r="AQ4" i="6"/>
  <c r="W6" i="6"/>
  <c r="E8" i="11"/>
  <c r="I7" i="8"/>
  <c r="O5" i="6"/>
  <c r="AG10" i="6"/>
  <c r="AL8" i="6"/>
  <c r="AT10" i="7"/>
  <c r="M5" i="1"/>
  <c r="Q7" i="6"/>
  <c r="AB8" i="7"/>
  <c r="AF9" i="6"/>
  <c r="M6" i="11"/>
  <c r="W7" i="6"/>
  <c r="AO4" i="7"/>
  <c r="J6" i="7"/>
  <c r="AA7" i="6"/>
  <c r="AI10" i="6"/>
  <c r="J4" i="8"/>
  <c r="AT4" i="6"/>
  <c r="G9" i="7"/>
  <c r="U9" i="7"/>
  <c r="I6" i="6"/>
  <c r="AC5" i="6"/>
  <c r="T4" i="6"/>
  <c r="AR6" i="7"/>
  <c r="J4" i="6"/>
  <c r="F10" i="11"/>
  <c r="X4" i="6"/>
  <c r="I10" i="12"/>
  <c r="H9" i="10"/>
  <c r="E4" i="10"/>
  <c r="F6" i="1"/>
  <c r="K10" i="6"/>
  <c r="I6" i="11"/>
  <c r="E10" i="12"/>
  <c r="R8" i="6"/>
  <c r="L5" i="9"/>
  <c r="G6" i="8"/>
  <c r="I5" i="9"/>
  <c r="AQ6" i="7"/>
  <c r="BA6" i="6"/>
  <c r="AF8" i="7"/>
  <c r="M5" i="8"/>
  <c r="R6" i="6"/>
  <c r="N5" i="11"/>
  <c r="AI7" i="7"/>
  <c r="AF10" i="6"/>
  <c r="AW9" i="6"/>
  <c r="AY9" i="7"/>
  <c r="M8" i="10"/>
  <c r="K10" i="10"/>
  <c r="H5" i="10"/>
  <c r="F7" i="10"/>
  <c r="N9" i="1"/>
  <c r="K4" i="1"/>
  <c r="I6" i="1"/>
  <c r="G8" i="1"/>
  <c r="E10" i="1"/>
  <c r="R4" i="8"/>
  <c r="AW4" i="6"/>
  <c r="P6" i="6"/>
  <c r="O10" i="7"/>
  <c r="AH6" i="6"/>
  <c r="G5" i="11"/>
  <c r="T7" i="6"/>
  <c r="K9" i="6"/>
  <c r="AJ9" i="7"/>
  <c r="S5" i="9"/>
  <c r="F9" i="7"/>
  <c r="H8" i="7"/>
  <c r="G10" i="11"/>
  <c r="AY4" i="7"/>
  <c r="H4" i="7"/>
  <c r="F7" i="9"/>
  <c r="AW8" i="7"/>
  <c r="K8" i="11"/>
  <c r="AQ9" i="6"/>
  <c r="V8" i="6"/>
  <c r="AJ10" i="7"/>
  <c r="V4" i="6"/>
  <c r="M7" i="6"/>
  <c r="P6" i="7"/>
  <c r="AB6" i="7"/>
  <c r="AC10" i="7"/>
  <c r="U6" i="8"/>
  <c r="E9" i="12"/>
  <c r="K6" i="6"/>
  <c r="Y9" i="6"/>
  <c r="P7" i="7"/>
  <c r="AN10" i="6"/>
  <c r="R6" i="9"/>
  <c r="AO10" i="7"/>
  <c r="AJ10" i="6"/>
  <c r="O4" i="9"/>
  <c r="F8" i="7"/>
  <c r="S8" i="7"/>
  <c r="M8" i="11"/>
  <c r="AK4" i="6"/>
  <c r="AN5" i="7"/>
  <c r="AE7" i="6"/>
  <c r="O4" i="7"/>
  <c r="S7" i="8"/>
  <c r="AN6" i="7"/>
  <c r="H5" i="11"/>
  <c r="E5" i="6"/>
  <c r="AK6" i="6"/>
  <c r="M6" i="9"/>
  <c r="AD10" i="7"/>
  <c r="K6" i="9"/>
  <c r="F6" i="9"/>
  <c r="AG6" i="7"/>
  <c r="R7" i="6"/>
  <c r="D9" i="11"/>
  <c r="K5" i="8"/>
  <c r="AR9" i="6"/>
  <c r="AM8" i="7"/>
  <c r="K7" i="8"/>
  <c r="AF5" i="6"/>
  <c r="H9" i="7"/>
  <c r="AK9" i="7"/>
  <c r="N7" i="11"/>
  <c r="AR4" i="7"/>
  <c r="L10" i="11"/>
  <c r="AV10" i="7"/>
  <c r="L10" i="7"/>
  <c r="AV7" i="6"/>
  <c r="H8" i="10"/>
  <c r="J6" i="12"/>
  <c r="H5" i="7"/>
  <c r="AJ6" i="6"/>
  <c r="L5" i="8"/>
  <c r="AA8" i="7"/>
  <c r="I5" i="8"/>
  <c r="P9" i="6"/>
  <c r="BA8" i="7"/>
  <c r="Q6" i="6"/>
  <c r="AC9" i="7"/>
  <c r="Y5" i="7"/>
  <c r="D7" i="11"/>
  <c r="AF10" i="7"/>
  <c r="K5" i="6"/>
  <c r="AG9" i="7"/>
  <c r="P6" i="8"/>
  <c r="T10" i="6"/>
  <c r="BA7" i="6"/>
  <c r="I6" i="8"/>
  <c r="G4" i="8"/>
  <c r="AW5" i="6"/>
  <c r="L5" i="10"/>
  <c r="K8" i="1"/>
  <c r="D6" i="1"/>
  <c r="X6" i="7"/>
  <c r="AR7" i="7"/>
  <c r="AO10" i="6"/>
  <c r="AJ7" i="7"/>
  <c r="E5" i="12"/>
  <c r="N8" i="6"/>
  <c r="AD7" i="7"/>
  <c r="I5" i="11"/>
  <c r="K5" i="11"/>
  <c r="J6" i="6"/>
  <c r="AS7" i="6"/>
  <c r="G5" i="8"/>
  <c r="J7" i="11"/>
  <c r="D4" i="11"/>
  <c r="O5" i="9"/>
  <c r="M9" i="11"/>
  <c r="F6" i="7"/>
  <c r="AD5" i="7"/>
  <c r="R7" i="7"/>
  <c r="M9" i="10"/>
  <c r="J4" i="10"/>
  <c r="H6" i="10"/>
  <c r="F8" i="10"/>
  <c r="N10" i="1"/>
  <c r="K5" i="1"/>
  <c r="I7" i="1"/>
  <c r="G9" i="1"/>
  <c r="D4" i="1"/>
  <c r="R4" i="9"/>
  <c r="AM6" i="6"/>
  <c r="G9" i="6"/>
  <c r="P7" i="9"/>
  <c r="P8" i="6"/>
  <c r="AM9" i="6"/>
  <c r="W4" i="7"/>
  <c r="AU6" i="7"/>
  <c r="AA10" i="7"/>
  <c r="AZ5" i="6"/>
  <c r="H4" i="11"/>
  <c r="J5" i="11"/>
  <c r="F4" i="12"/>
  <c r="AX5" i="7"/>
  <c r="F5" i="12"/>
  <c r="AR10" i="6"/>
  <c r="AN9" i="7"/>
  <c r="K4" i="8"/>
  <c r="AF4" i="6"/>
  <c r="M8" i="6"/>
  <c r="Z4" i="7"/>
  <c r="AW10" i="7"/>
  <c r="AN4" i="7"/>
  <c r="G6" i="9"/>
  <c r="E7" i="7"/>
  <c r="D10" i="7"/>
  <c r="BA5" i="7"/>
  <c r="E9" i="11"/>
  <c r="AM10" i="7"/>
  <c r="Q7" i="8"/>
  <c r="I9" i="11"/>
  <c r="AX8" i="7"/>
  <c r="AM7" i="6"/>
  <c r="D10" i="12"/>
  <c r="Q5" i="6"/>
  <c r="T7" i="7"/>
  <c r="R9" i="6"/>
  <c r="AP6" i="6"/>
  <c r="AM9" i="7"/>
  <c r="AU9" i="7"/>
  <c r="D9" i="12"/>
  <c r="M9" i="6"/>
  <c r="D5" i="11"/>
  <c r="K4" i="6"/>
  <c r="J4" i="9"/>
  <c r="K4" i="7"/>
  <c r="G7" i="6"/>
  <c r="D4" i="7"/>
  <c r="G10" i="6"/>
  <c r="Z5" i="7"/>
  <c r="AJ5" i="7"/>
  <c r="V7" i="7"/>
  <c r="E6" i="7"/>
  <c r="S7" i="7"/>
  <c r="L6" i="7"/>
  <c r="J8" i="6"/>
  <c r="M8" i="7"/>
  <c r="M7" i="11"/>
  <c r="J9" i="6"/>
  <c r="AV6" i="7"/>
  <c r="K7" i="9"/>
  <c r="X6" i="6"/>
  <c r="AN10" i="7"/>
  <c r="E10" i="6"/>
  <c r="E8" i="6"/>
  <c r="G4" i="6"/>
  <c r="L6" i="6"/>
  <c r="BA9" i="6"/>
  <c r="L4" i="10"/>
  <c r="J6" i="10"/>
  <c r="F10" i="10"/>
  <c r="K7" i="1"/>
  <c r="I9" i="1"/>
  <c r="F4" i="1"/>
  <c r="D5" i="1"/>
  <c r="AN4" i="6"/>
  <c r="T9" i="6"/>
  <c r="AG5" i="7"/>
  <c r="Z9" i="7"/>
  <c r="AX6" i="6"/>
  <c r="X10" i="6"/>
  <c r="AL7" i="7"/>
  <c r="U4" i="7"/>
  <c r="N6" i="6"/>
  <c r="J4" i="12"/>
  <c r="AD9" i="7"/>
  <c r="D7" i="9"/>
  <c r="AW7" i="6"/>
  <c r="AP10" i="6"/>
  <c r="J4" i="7"/>
  <c r="AJ8" i="6"/>
  <c r="X4" i="7"/>
  <c r="N4" i="11"/>
  <c r="AF7" i="7"/>
  <c r="M6" i="7"/>
  <c r="T4" i="7"/>
  <c r="P10" i="6"/>
  <c r="I4" i="11"/>
  <c r="F10" i="12"/>
  <c r="R5" i="7"/>
  <c r="J7" i="10"/>
  <c r="M6" i="1"/>
  <c r="I10" i="1"/>
  <c r="AD6" i="6"/>
  <c r="I5" i="7"/>
  <c r="S9" i="7"/>
  <c r="W10" i="6"/>
  <c r="D8" i="12"/>
  <c r="L5" i="7"/>
  <c r="E7" i="6"/>
  <c r="E8" i="12"/>
  <c r="AZ6" i="7"/>
  <c r="P5" i="6"/>
  <c r="AK6" i="7"/>
  <c r="V7" i="6"/>
  <c r="U8" i="6"/>
  <c r="R10" i="6"/>
  <c r="W8" i="6"/>
  <c r="AI4" i="6"/>
  <c r="Y10" i="6"/>
  <c r="AI8" i="6"/>
  <c r="N10" i="10"/>
  <c r="E7" i="1"/>
  <c r="P4" i="9"/>
  <c r="AI10" i="7"/>
  <c r="L6" i="8"/>
  <c r="BA10" i="6"/>
  <c r="AF5" i="7"/>
  <c r="J9" i="12"/>
  <c r="BA6" i="7"/>
  <c r="V5" i="6"/>
  <c r="N6" i="11"/>
  <c r="G6" i="11"/>
  <c r="AT7" i="6"/>
  <c r="AS10" i="7"/>
  <c r="AL9" i="6"/>
  <c r="AX9" i="7"/>
  <c r="S6" i="6"/>
  <c r="E7" i="12"/>
  <c r="K5" i="10"/>
  <c r="AL7" i="6"/>
  <c r="AK8" i="6"/>
  <c r="AW8" i="6"/>
  <c r="U6" i="6"/>
  <c r="AG4" i="6"/>
  <c r="I4" i="8"/>
  <c r="AN8" i="6"/>
  <c r="AS5" i="6"/>
  <c r="V10" i="6"/>
  <c r="M9" i="7"/>
  <c r="S4" i="7"/>
  <c r="AH10" i="6"/>
  <c r="O7" i="9"/>
  <c r="AQ10" i="7"/>
  <c r="I7" i="10"/>
  <c r="L10" i="6"/>
  <c r="E8" i="7"/>
  <c r="J6" i="8"/>
  <c r="E7" i="11"/>
  <c r="U7" i="9"/>
  <c r="E6" i="8"/>
  <c r="N4" i="1"/>
  <c r="O10" i="6"/>
  <c r="J7" i="9"/>
  <c r="T6" i="8"/>
  <c r="AT6" i="6"/>
  <c r="AT5" i="7"/>
  <c r="T4" i="8"/>
  <c r="F5" i="8"/>
  <c r="AV8" i="6"/>
  <c r="AD5" i="6"/>
  <c r="AJ5" i="6"/>
  <c r="AR8" i="6"/>
  <c r="AH9" i="6"/>
  <c r="AC5" i="7"/>
  <c r="X8" i="7"/>
  <c r="L6" i="1"/>
  <c r="S4" i="8"/>
  <c r="J10" i="12"/>
  <c r="AK9" i="6"/>
  <c r="AZ10" i="7"/>
  <c r="M5" i="6"/>
  <c r="AH8" i="7"/>
  <c r="AC9" i="6"/>
  <c r="I7" i="7"/>
  <c r="I8" i="6"/>
  <c r="G6" i="12"/>
  <c r="J10" i="11"/>
  <c r="AP5" i="6"/>
  <c r="J8" i="1"/>
  <c r="AE8" i="6"/>
  <c r="U10" i="7"/>
  <c r="AI6" i="7"/>
  <c r="Y7" i="6"/>
  <c r="AZ7" i="7"/>
  <c r="K7" i="6"/>
  <c r="H10" i="11"/>
  <c r="M4" i="11"/>
  <c r="N7" i="6"/>
  <c r="H10" i="1"/>
  <c r="AX6" i="7"/>
  <c r="AT9" i="6"/>
  <c r="Z5" i="6"/>
  <c r="AW10" i="6"/>
  <c r="L8" i="11"/>
  <c r="F5" i="6"/>
  <c r="AD9" i="6"/>
  <c r="F6" i="6"/>
  <c r="F8" i="6"/>
  <c r="H8" i="6"/>
  <c r="F4" i="6"/>
  <c r="G9" i="10"/>
  <c r="L9" i="6"/>
  <c r="W4" i="6"/>
  <c r="Q6" i="9"/>
  <c r="F4" i="7"/>
  <c r="AR4" i="6"/>
  <c r="R4" i="7"/>
  <c r="G4" i="12"/>
  <c r="AA5" i="7"/>
  <c r="AG7" i="7"/>
  <c r="J10" i="6"/>
  <c r="BA4" i="6"/>
  <c r="Z10" i="7"/>
  <c r="BA8" i="6"/>
  <c r="O8" i="6"/>
  <c r="F10" i="6"/>
  <c r="G9" i="11"/>
  <c r="S4" i="9"/>
  <c r="K9" i="7"/>
  <c r="Z6" i="7"/>
  <c r="AK10" i="7"/>
  <c r="K8" i="7"/>
  <c r="U4" i="9"/>
  <c r="L7" i="9"/>
  <c r="G6" i="6"/>
  <c r="H4" i="9"/>
  <c r="D5" i="12"/>
</calcChain>
</file>

<file path=xl/connections.xml><?xml version="1.0" encoding="utf-8"?>
<connections xmlns="http://schemas.openxmlformats.org/spreadsheetml/2006/main">
  <connection id="1" name="Connection" type="1" refreshedVersion="4" savePassword="1" background="1" saveData="1">
    <dbPr connection="DRIVER={MySQL ODBC 5.2 Unicode Driver};UID=rtdxls;PWD=r#td_2014_cde!;Server=localhost;Database=rtdxls;" command="SELECT * FROM `rtdxls`.`quotes_yahoo`"/>
  </connection>
  <connection id="2" name="Connection1" type="1" refreshedVersion="4" savePassword="1" background="1" saveData="1">
    <dbPr connection="DRIVER={MySQL ODBC 5.2 Unicode Driver};UID=rtdxls;PWD=r#td_2014_cde!;Server=localhost;Database=rtdxls;" command="SELECT * FROM `rtdxls`.`quotes_yahoo`"/>
  </connection>
  <connection id="3" name="Connection2" type="1" refreshedVersion="4" savePassword="1" background="1" saveData="1">
    <dbPr connection="DRIVER={MySQL ODBC 5.2 Unicode Driver};UID=rtdxls;PWD=r#td_2014_cde!;Server=localhost;Database=rtdxls;" command="SELECT * FROM `rtdxls`.`quote_day_history_yahoo`"/>
  </connection>
  <connection id="4" name="Connection3" type="1" refreshedVersion="4" savePassword="1" background="1" saveData="1">
    <dbPr connection="DRIVER={MySQL ODBC 5.2 Unicode Driver};UID=rtdxls;PWD=r#td_2014_cde!;Server=localhost;Database=rtdxls;" command="SELECT * FROM `rtdxls`.`stocks_yahoo`"/>
  </connection>
  <connection id="5" name="Connection4" type="1" refreshedVersion="4" savePassword="1" background="1" saveData="1">
    <dbPr connection="DRIVER={MySQL ODBC 5.2 Unicode Driver};UID=rtdxls;PWD=r#td_2014_cde!;Server=localhost;Database=rtdxls;" command="SELECT * FROM `rtdxls`.`fundamentals_yahoo`"/>
  </connection>
  <connection id="6" name="Connection5" type="1" refreshedVersion="4" savePassword="1" background="1" saveData="1">
    <dbPr connection="DRIVER={MySQL ODBC 5.2 Unicode Driver};UID=rtdxls;PWD=r#td_2014_cde!;Server=localhost;Database=rtdxls;" command="SELECT * FROM `rtdxls`.`fundamentals_day_history_yahoo`"/>
  </connection>
  <connection id="7" name="Connection6" type="1" refreshedVersion="4" savePassword="1" background="1" saveData="1">
    <dbPr connection="DRIVER={MySQL ODBC 5.2 Unicode Driver};UID=rtdxls;PWD=r#td_2014_cde!;Server=localhost;Database=rtdxls;" command="SELECT * FROM `rtdxls`.`options_yahoo`"/>
  </connection>
  <connection id="8" name="Connection7" type="1" refreshedVersion="4" savePassword="1" background="1" saveData="1">
    <dbPr connection="DRIVER={MySQL ODBC 5.2 Unicode Driver};UID=rtdxls;PWD=r#td_2014_cde!;Server=localhost;Database=rtdxls;" command="SELECT * FROM `rtdxls`.`option_day_history_yahoo`"/>
  </connection>
</connections>
</file>

<file path=xl/sharedStrings.xml><?xml version="1.0" encoding="utf-8"?>
<sst xmlns="http://schemas.openxmlformats.org/spreadsheetml/2006/main" count="4000" uniqueCount="568">
  <si>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</si>
  <si>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</si>
  <si>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</si>
  <si>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</si>
  <si>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</si>
  <si>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</si>
  <si>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</si>
  <si>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</si>
  <si>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</si>
  <si>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</si>
  <si>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</si>
  <si>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</si>
  <si>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</si>
  <si>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</si>
  <si>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</si>
  <si>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</si>
  <si>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</si>
  <si>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</si>
  <si>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</si>
  <si>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</si>
  <si>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</si>
  <si>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</si>
  <si>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</si>
  <si>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</si>
  <si>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</si>
  <si>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</si>
  <si>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</si>
  <si>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</si>
  <si>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</si>
  <si>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</si>
  <si>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</si>
  <si>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</si>
  <si>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</si>
  <si>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</si>
  <si>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</si>
  <si>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</si>
  <si>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</si>
  <si>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</si>
  <si>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</si>
  <si>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</si>
  <si>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</si>
  <si>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</si>
  <si>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</si>
  <si>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</si>
  <si>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</si>
  <si>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</si>
  <si>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</si>
  <si>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</si>
  <si>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</si>
  <si>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</si>
  <si>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</si>
  <si>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</si>
  <si>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</si>
  <si>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</si>
  <si>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</si>
  <si>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</si>
  <si>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</si>
  <si>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</si>
  <si>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</si>
  <si>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</si>
  <si>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</si>
  <si>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</si>
  <si>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</si>
  <si>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</si>
  <si>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</si>
  <si>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</si>
  <si>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</si>
  <si>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</si>
  <si>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</si>
  <si>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</si>
  <si>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LastTradeDate</t>
  </si>
  <si>
    <t>LastTradeTime</t>
  </si>
  <si>
    <t>Open</t>
  </si>
  <si>
    <t>High</t>
  </si>
  <si>
    <t>Low</t>
  </si>
  <si>
    <t>TableStyleMedium15</t>
  </si>
  <si>
    <t>FormulaR1C1</t>
  </si>
  <si>
    <t>NumberFormat</t>
  </si>
  <si>
    <t>m/d/yyyy</t>
  </si>
  <si>
    <t>[$-F400]h:mm:ss AM/PM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</si>
  <si>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</si>
  <si>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</si>
  <si>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</si>
  <si>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</si>
  <si>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</si>
  <si>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</si>
  <si>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</si>
  <si>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</si>
  <si>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</si>
  <si>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</si>
  <si>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</si>
  <si>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</si>
  <si>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</si>
  <si>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</si>
  <si>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</si>
  <si>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</si>
  <si>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</si>
  <si>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</si>
  <si>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</si>
  <si>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</si>
  <si>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</si>
  <si>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</si>
  <si>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</si>
  <si>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</si>
  <si>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</si>
  <si>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</si>
  <si>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</si>
  <si>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</si>
  <si>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</si>
  <si>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</si>
  <si>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</si>
  <si>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</si>
  <si>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</si>
  <si>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</si>
  <si>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</si>
  <si>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</si>
  <si>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</si>
  <si>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</si>
  <si>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</si>
  <si>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</si>
  <si>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</si>
  <si>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</si>
  <si>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</si>
  <si>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</si>
  <si>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</si>
  <si>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</si>
  <si>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</si>
  <si>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</si>
  <si>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</si>
  <si>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</si>
  <si>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</si>
  <si>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</si>
  <si>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</si>
  <si>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</si>
  <si>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</si>
  <si>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</si>
  <si>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</si>
  <si>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</si>
  <si>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</si>
  <si>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</si>
  <si>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</si>
  <si>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</si>
  <si>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</si>
  <si>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</si>
  <si>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</si>
  <si>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</si>
  <si>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</si>
  <si>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</si>
  <si>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</si>
  <si>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</si>
  <si>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</si>
  <si>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0.00%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</si>
  <si>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</si>
  <si>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</si>
  <si>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</si>
  <si>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</si>
  <si>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</si>
  <si>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</si>
  <si>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</si>
  <si>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</si>
  <si>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</si>
  <si>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</si>
  <si>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</si>
  <si>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</si>
  <si>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</si>
  <si>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rPr>
        <sz val="11"/>
        <rFont val="Calibri"/>
        <family val="2"/>
        <charset val="204"/>
        <scheme val="minor"/>
      </rPr>
      <t xml:space="preserve">Copyright ©2013-2014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</si>
  <si>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FundamentalsDayHistoryYahoo_Table1</t>
  </si>
  <si>
    <t>PageSetup.FitToPagesWide</t>
  </si>
  <si>
    <t>PageSetup.FitToPagesTall</t>
  </si>
  <si>
    <t>PageSetup.PaperSize</t>
  </si>
  <si>
    <t>FundamentalsYahoo_Table1</t>
  </si>
  <si>
    <t>AAPL150117C00500000</t>
  </si>
  <si>
    <t>AAPL150117C00600000</t>
  </si>
  <si>
    <t>AAPL150117P00500000</t>
  </si>
  <si>
    <t>AAPL150117P00600000</t>
  </si>
  <si>
    <t>OptionDayHistoryYahoo_Table1</t>
  </si>
  <si>
    <t>OptionsYahoo_Table1</t>
  </si>
  <si>
    <t>QuoteDayHistoryYahoo_Table1</t>
  </si>
  <si>
    <t>QuotesYahoo_Table1</t>
  </si>
  <si>
    <t>StocksYahoo_Table1</t>
  </si>
  <si>
    <t>0.00</t>
  </si>
  <si>
    <t>[Color10]+0.00;[Red]-0.00;0.00</t>
  </si>
  <si>
    <t>#,##0</t>
  </si>
  <si>
    <t>[Color10]+0.00;[Red]-0.00;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</si>
  <si>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</si>
  <si>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</si>
  <si>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</si>
  <si>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</si>
  <si>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</si>
  <si>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</si>
  <si>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</si>
  <si>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</si>
  <si>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</si>
  <si>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</si>
  <si>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</si>
  <si>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</si>
  <si>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</si>
  <si>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$L$4:$L$10</t>
  </si>
  <si>
    <t>$U$4:$U$10</t>
  </si>
  <si>
    <t>$V$4:$V$10</t>
  </si>
  <si>
    <t>$AA$4:$AA$10</t>
  </si>
  <si>
    <t>$AB$4:$AB$10</t>
  </si>
  <si>
    <t>$R$4:$R$7</t>
  </si>
  <si>
    <t>$S$4:$S$7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</si>
  <si>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</si>
  <si>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</si>
  <si>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</si>
  <si>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</si>
  <si>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</si>
  <si>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</si>
  <si>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</si>
  <si>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</si>
  <si>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</si>
  <si>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</si>
  <si>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</si>
  <si>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</si>
  <si>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</si>
  <si>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</si>
  <si>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</si>
  <si>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</si>
  <si>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rtdxls.real_time_views</t>
  </si>
  <si>
    <t>rtdxls.quotes_yahoo</t>
  </si>
  <si>
    <t>VIEW</t>
  </si>
  <si>
    <t>rtdxls.fundamentals_yahoo</t>
  </si>
  <si>
    <t>rtdxls.fundamentals_day_history_yahoo</t>
  </si>
  <si>
    <t>rtdxls.option_day_history_yahoo</t>
  </si>
  <si>
    <t>rtdxls.options_yahoo</t>
  </si>
  <si>
    <t>rtdxls.quote_day_history_yahoo</t>
  </si>
  <si>
    <t>rtdxls.stocks_yahoo</t>
  </si>
  <si>
    <t>Start Fields of object [rtdxls.rtdxls.quotes_yahoo] on server [MySql.localhost]</t>
  </si>
  <si>
    <t>1</t>
  </si>
  <si>
    <t>NO</t>
  </si>
  <si>
    <t>varchar</t>
  </si>
  <si>
    <t>50</t>
  </si>
  <si>
    <t>2</t>
  </si>
  <si>
    <t>71</t>
  </si>
  <si>
    <t>3</t>
  </si>
  <si>
    <t>4</t>
  </si>
  <si>
    <t>62</t>
  </si>
  <si>
    <t>5</t>
  </si>
  <si>
    <t>64</t>
  </si>
  <si>
    <t>6</t>
  </si>
  <si>
    <t>7</t>
  </si>
  <si>
    <t>8</t>
  </si>
  <si>
    <t>9</t>
  </si>
  <si>
    <t>61</t>
  </si>
  <si>
    <t>10</t>
  </si>
  <si>
    <t>11</t>
  </si>
  <si>
    <t>77</t>
  </si>
  <si>
    <t>12</t>
  </si>
  <si>
    <t>73</t>
  </si>
  <si>
    <t>End Fields of object [rtdxls.rtdxls.quotes_yahoo] on server [MySql.localhost]</t>
  </si>
  <si>
    <t>Start Column Properties of object [rtdxls.quotes_yahoo]</t>
  </si>
  <si>
    <t>End Column Properties of object [rtdxls.quotes_yahoo]</t>
  </si>
  <si>
    <t>=RTD("gartle.rtd",,"rtd-mysql","quotes_yahoo",[Symbol],"LastTradeDate")</t>
  </si>
  <si>
    <t>=RTD("gartle.rtd",,"rtd-mysql","quotes_yahoo",[Symbol],"LastTradeTime")</t>
  </si>
  <si>
    <t>=RTD("gartle.rtd",,"rtd-mysql","quotes_yahoo",[Symbol],"Last")</t>
  </si>
  <si>
    <t>=RTD("gartle.rtd",,"rtd-mysql","quotes_yahoo",[Symbol],"Change")</t>
  </si>
  <si>
    <t>=RTD("gartle.rtd",,"rtd-mysql","quotes_yahoo",[Symbol],"PercentChange")</t>
  </si>
  <si>
    <t>=RTD("gartle.rtd",,"rtd-mysql","quotes_yahoo",[Symbol],"Open")</t>
  </si>
  <si>
    <t>=RTD("gartle.rtd",,"rtd-mysql","quotes_yahoo",[Symbol],"High")</t>
  </si>
  <si>
    <t>=RTD("gartle.rtd",,"rtd-mysql","quotes_yahoo",[Symbol],"Low")</t>
  </si>
  <si>
    <t>=RTD("gartle.rtd",,"rtd-mysql","quotes_yahoo",[Symbol],"Volume")</t>
  </si>
  <si>
    <t>=RTD("gartle.rtd",,"rtd-mysql","quotes_yahoo",[Symbol],"LastUpdateTimeStamp")</t>
  </si>
  <si>
    <t>=RTD("gartle.rtd",,"rtd-mysql","quotes_yahoo",[Symbol],"RTD_LastMessage")</t>
  </si>
  <si>
    <t>Start Fields of object [rtdxls.rtdxls.quote_day_history_yahoo] on server [MySql.localhost]</t>
  </si>
  <si>
    <t>YES</t>
  </si>
  <si>
    <t>date</t>
  </si>
  <si>
    <t>89</t>
  </si>
  <si>
    <t>80</t>
  </si>
  <si>
    <t>82</t>
  </si>
  <si>
    <t>79</t>
  </si>
  <si>
    <t>95</t>
  </si>
  <si>
    <t>91</t>
  </si>
  <si>
    <t>End Fields of object [rtdxls.rtdxls.quote_day_history_yahoo] on server [MySql.localhost]</t>
  </si>
  <si>
    <t>Start Column Properties of object [rtdxls.quote_day_history_yahoo]</t>
  </si>
  <si>
    <t>End Column Properties of object [rtdxls.quote_day_history_yahoo]</t>
  </si>
  <si>
    <t>=RTD("gartle.rtd",,"rtd-mysql","quote_day_history_yahoo",[Symbol],[Date],"LastTradeTime")</t>
  </si>
  <si>
    <t>=RTD("gartle.rtd",,"rtd-mysql","quote_day_history_yahoo",[Symbol],[Date],"Last")</t>
  </si>
  <si>
    <t>=RTD("gartle.rtd",,"rtd-mysql","quote_day_history_yahoo",[Symbol],[Date],"Change")</t>
  </si>
  <si>
    <t>=RTD("gartle.rtd",,"rtd-mysql","quote_day_history_yahoo",[Symbol],[Date],"PercentChange")</t>
  </si>
  <si>
    <t>=RTD("gartle.rtd",,"rtd-mysql","quote_day_history_yahoo",[Symbol],[Date],"Open")</t>
  </si>
  <si>
    <t>=RTD("gartle.rtd",,"rtd-mysql","quote_day_history_yahoo",[Symbol],[Date],"High")</t>
  </si>
  <si>
    <t>=RTD("gartle.rtd",,"rtd-mysql","quote_day_history_yahoo",[Symbol],[Date],"Low")</t>
  </si>
  <si>
    <t>=RTD("gartle.rtd",,"rtd-mysql","quote_day_history_yahoo",[Symbol],[Date],"Volume")</t>
  </si>
  <si>
    <t>=RTD("gartle.rtd",,"rtd-mysql","quote_day_history_yahoo",[Symbol],[Date],"LastUpdateTimeStamp")</t>
  </si>
  <si>
    <t>=RTD("gartle.rtd",,"rtd-mysql","quote_day_history_yahoo",[Symbol],[Date],"RTD_LastMessage")</t>
  </si>
  <si>
    <t>Start Fields of object [rtdxls.rtdxls.stocks_yahoo] on server [MySql.localhost]</t>
  </si>
  <si>
    <t>69</t>
  </si>
  <si>
    <t>66</t>
  </si>
  <si>
    <t>75</t>
  </si>
  <si>
    <t>68</t>
  </si>
  <si>
    <t>End Fields of object [rtdxls.rtdxls.stocks_yahoo] on server [MySql.localhost]</t>
  </si>
  <si>
    <t>Start Column Properties of object [rtdxls.stocks_yahoo]</t>
  </si>
  <si>
    <t>End Column Properties of object [rtdxls.stocks_yahoo]</t>
  </si>
  <si>
    <t>=RTD("gartle.rtd",,"rtd-mysql","stocks_yahoo",[Symbol],"CompanyName")</t>
  </si>
  <si>
    <t>=RTD("gartle.rtd",,"rtd-mysql","stocks_yahoo",[Symbol],"Sector")</t>
  </si>
  <si>
    <t>=RTD("gartle.rtd",,"rtd-mysql","stocks_yahoo",[Symbol],"Industry")</t>
  </si>
  <si>
    <t>=RTD("gartle.rtd",,"rtd-mysql","stocks_yahoo",[Symbol],"FullTimeEmployees")</t>
  </si>
  <si>
    <t>=RTD("gartle.rtd",,"rtd-mysql","stocks_yahoo",[Symbol],"TradeStart")</t>
  </si>
  <si>
    <t>=RTD("gartle.rtd",,"rtd-mysql","stocks_yahoo",[Symbol],"TradeEnd")</t>
  </si>
  <si>
    <t>=RTD("gartle.rtd",,"rtd-mysql","stocks_yahoo",[Symbol],"LastUpdateTimeStamp")</t>
  </si>
  <si>
    <t>Start Fields of object [rtdxls.rtdxls.fundamentals_yahoo] on server [MySql.localhost]</t>
  </si>
  <si>
    <t>70</t>
  </si>
  <si>
    <t>67</t>
  </si>
  <si>
    <t>13</t>
  </si>
  <si>
    <t>74</t>
  </si>
  <si>
    <t>14</t>
  </si>
  <si>
    <t>72</t>
  </si>
  <si>
    <t>15</t>
  </si>
  <si>
    <t>16</t>
  </si>
  <si>
    <t>17</t>
  </si>
  <si>
    <t>18</t>
  </si>
  <si>
    <t>81</t>
  </si>
  <si>
    <t>19</t>
  </si>
  <si>
    <t>20</t>
  </si>
  <si>
    <t>88</t>
  </si>
  <si>
    <t>21</t>
  </si>
  <si>
    <t>22</t>
  </si>
  <si>
    <t>23</t>
  </si>
  <si>
    <t>78</t>
  </si>
  <si>
    <t>24</t>
  </si>
  <si>
    <t>25</t>
  </si>
  <si>
    <t>85</t>
  </si>
  <si>
    <t>26</t>
  </si>
  <si>
    <t>86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</si>
  <si>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</si>
  <si>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</si>
  <si>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</si>
  <si>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</si>
  <si>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</si>
  <si>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</si>
  <si>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</si>
  <si>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</si>
  <si>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</si>
  <si>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</si>
  <si>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</si>
  <si>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</si>
  <si>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</si>
  <si>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</si>
  <si>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</si>
  <si>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</si>
  <si>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</si>
  <si>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</si>
  <si>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83</t>
  </si>
  <si>
    <t>45</t>
  </si>
  <si>
    <t>46</t>
  </si>
  <si>
    <t>47</t>
  </si>
  <si>
    <t>48</t>
  </si>
  <si>
    <t>49</t>
  </si>
  <si>
    <t>51</t>
  </si>
  <si>
    <t>End Fields of object [rtdxls.rtdxls.fundamentals_yahoo] on server [MySql.localhost]</t>
  </si>
  <si>
    <t>Start Column Properties of object [rtdxls.fundamentals_yahoo]</t>
  </si>
  <si>
    <t>End Column Properties of object [rtdxls.fundamentals_yahoo]</t>
  </si>
  <si>
    <t>=RTD("gartle.rtd",,"rtd-mysql","fundamentals_yahoo",[Symbol],"LastTradeDate")</t>
  </si>
  <si>
    <t>=RTD("gartle.rtd",,"rtd-mysql","fundamentals_yahoo",[Symbol],"LastTradeTime")</t>
  </si>
  <si>
    <t>=RTD("gartle.rtd",,"rtd-mysql","fundamentals_yahoo",[Symbol],"Last")</t>
  </si>
  <si>
    <t>=RTD("gartle.rtd",,"rtd-mysql","fundamentals_yahoo",[Symbol],"Change")</t>
  </si>
  <si>
    <t>=RTD("gartle.rtd",,"rtd-mysql","fundamentals_yahoo",[Symbol],"PercentChange")</t>
  </si>
  <si>
    <t>=RTD("gartle.rtd",,"rtd-mysql","fundamentals_yahoo",[Symbol],"Open")</t>
  </si>
  <si>
    <t>=RTD("gartle.rtd",,"rtd-mysql","fundamentals_yahoo",[Symbol],"High")</t>
  </si>
  <si>
    <t>=RTD("gartle.rtd",,"rtd-mysql","fundamentals_yahoo",[Symbol],"Low")</t>
  </si>
  <si>
    <t>=RTD("gartle.rtd",,"rtd-mysql","fundamentals_yahoo",[Symbol],"Volume")</t>
  </si>
  <si>
    <t>=RTD("gartle.rtd",,"rtd-mysql","fundamentals_yahoo",[Symbol],"DaysRange")</t>
  </si>
  <si>
    <t>=RTD("gartle.rtd",,"rtd-mysql","fundamentals_yahoo",[Symbol],"PrevClose")</t>
  </si>
  <si>
    <t>=RTD("gartle.rtd",,"rtd-mysql","fundamentals_yahoo",[Symbol],"ShortRatio")</t>
  </si>
  <si>
    <t>=RTD("gartle.rtd",,"rtd-mysql","fundamentals_yahoo",[Symbol],"YearHigh")</t>
  </si>
  <si>
    <t>=RTD("gartle.rtd",,"rtd-mysql","fundamentals_yahoo",[Symbol],"YearLow")</t>
  </si>
  <si>
    <t>=RTD("gartle.rtd",,"rtd-mysql","fundamentals_yahoo",[Symbol],"YearRange")</t>
  </si>
  <si>
    <t>=RTD("gartle.rtd",,"rtd-mysql","fundamentals_yahoo",[Symbol],"ChangeFromYearHigh")</t>
  </si>
  <si>
    <t>=RTD("gartle.rtd",,"rtd-mysql","fundamentals_yahoo",[Symbol],"ChangeFromYearLow")</t>
  </si>
  <si>
    <t>=RTD("gartle.rtd",,"rtd-mysql","fundamentals_yahoo",[Symbol],"PercentChangeFromYearHigh")</t>
  </si>
  <si>
    <t>=RTD("gartle.rtd",,"rtd-mysql","fundamentals_yahoo",[Symbol],"PercentChangeFromYearLow")</t>
  </si>
  <si>
    <t>=RTD("gartle.rtd",,"rtd-mysql","fundamentals_yahoo",[Symbol],"MA50")</t>
  </si>
  <si>
    <t>=RTD("gartle.rtd",,"rtd-mysql","fundamentals_yahoo",[Symbol],"MA200")</t>
  </si>
  <si>
    <t>=RTD("gartle.rtd",,"rtd-mysql","fundamentals_yahoo",[Symbol],"ChangeFromMA50")</t>
  </si>
  <si>
    <t>=RTD("gartle.rtd",,"rtd-mysql","fundamentals_yahoo",[Symbol],"ChangeFromMA200")</t>
  </si>
  <si>
    <t>=RTD("gartle.rtd",,"rtd-mysql","fundamentals_yahoo",[Symbol],"PercentChangeFromMA50")</t>
  </si>
  <si>
    <t>=RTD("gartle.rtd",,"rtd-mysql","fundamentals_yahoo",[Symbol],"PercentChangeFromMA200")</t>
  </si>
  <si>
    <t>=RTD("gartle.rtd",,"rtd-mysql","fundamentals_yahoo",[Symbol],"AverageDailyVolume")</t>
  </si>
  <si>
    <t>=RTD("gartle.rtd",,"rtd-mysql","fundamentals_yahoo",[Symbol],"OneYearTargetPrice")</t>
  </si>
  <si>
    <t>=RTD("gartle.rtd",,"rtd-mysql","fundamentals_yahoo",[Symbol],"PE")</t>
  </si>
  <si>
    <t>=RTD("gartle.rtd",,"rtd-mysql","fundamentals_yahoo",[Symbol],"PEG")</t>
  </si>
  <si>
    <t>=RTD("gartle.rtd",,"rtd-mysql","fundamentals_yahoo",[Symbol],"EPSEstCurrentYear")</t>
  </si>
  <si>
    <t>=RTD("gartle.rtd",,"rtd-mysql","fundamentals_yahoo",[Symbol],"EPSEstNextQuarter")</t>
  </si>
  <si>
    <t>=RTD("gartle.rtd",,"rtd-mysql","fundamentals_yahoo",[Symbol],"EPSEstNextYear")</t>
  </si>
  <si>
    <t>=RTD("gartle.rtd",,"rtd-mysql","fundamentals_yahoo",[Symbol],"EarningsShare")</t>
  </si>
  <si>
    <t>=RTD("gartle.rtd",,"rtd-mysql","fundamentals_yahoo",[Symbol],"MarketCap")</t>
  </si>
  <si>
    <t>=RTD("gartle.rtd",,"rtd-mysql","fundamentals_yahoo",[Symbol],"DividendYield")</t>
  </si>
  <si>
    <t>=RTD("gartle.rtd",,"rtd-mysql","fundamentals_yahoo",[Symbol],"DividendShare")</t>
  </si>
  <si>
    <t>=RTD("gartle.rtd",,"rtd-mysql","fundamentals_yahoo",[Symbol],"ExDividendDate")</t>
  </si>
  <si>
    <t>=RTD("gartle.rtd",,"rtd-mysql","fundamentals_yahoo",[Symbol],"DividendPayDate")</t>
  </si>
  <si>
    <t>=RTD("gartle.rtd",,"rtd-mysql","fundamentals_yahoo",[Symbol],"BookValue")</t>
  </si>
  <si>
    <t>=RTD("gartle.rtd",,"rtd-mysql","fundamentals_yahoo",[Symbol],"PriceBook")</t>
  </si>
  <si>
    <t>=RTD("gartle.rtd",,"rtd-mysql","fundamentals_yahoo",[Symbol],"PriceSales")</t>
  </si>
  <si>
    <t>=RTD("gartle.rtd",,"rtd-mysql","fundamentals_yahoo",[Symbol],"PriceEPSEstCurrentYear")</t>
  </si>
  <si>
    <t>=RTD("gartle.rtd",,"rtd-mysql","fundamentals_yahoo",[Symbol],"PriceEPSEstNextYear")</t>
  </si>
  <si>
    <t>=RTD("gartle.rtd",,"rtd-mysql","fundamentals_yahoo",[Symbol],"EBITDA")</t>
  </si>
  <si>
    <t>=RTD("gartle.rtd",,"rtd-mysql","fundamentals_yahoo",[Symbol],"CompanyName")</t>
  </si>
  <si>
    <t>=RTD("gartle.rtd",,"rtd-mysql","fundamentals_yahoo",[Symbol],"StockExchange")</t>
  </si>
  <si>
    <t>=RTD("gartle.rtd",,"rtd-mysql","fundamentals_yahoo",[Symbol],"Commission")</t>
  </si>
  <si>
    <t>=RTD("gartle.rtd",,"rtd-mysql","fundamentals_yahoo",[Symbol],"Notes")</t>
  </si>
  <si>
    <t>=RTD("gartle.rtd",,"rtd-mysql","fundamentals_yahoo",[Symbol],"LastUpdateTimeStamp")</t>
  </si>
  <si>
    <t>=RTD("gartle.rtd",,"rtd-mysql","fundamentals_yahoo",[Symbol],"RTD_LastMessage")</t>
  </si>
  <si>
    <t>Start Fields of object [rtdxls.rtdxls.fundamentals_day_history_yahoo] on server [MySql.localhost]</t>
  </si>
  <si>
    <t>96</t>
  </si>
  <si>
    <t>87</t>
  </si>
  <si>
    <t>92</t>
  </si>
  <si>
    <t>93</t>
  </si>
  <si>
    <t>90</t>
  </si>
  <si>
    <t>101</t>
  </si>
  <si>
    <t>100</t>
  </si>
  <si>
    <t>108</t>
  </si>
  <si>
    <t>107</t>
  </si>
  <si>
    <t>97</t>
  </si>
  <si>
    <t>98</t>
  </si>
  <si>
    <t>104</t>
  </si>
  <si>
    <t>105</t>
  </si>
  <si>
    <t>102</t>
  </si>
  <si>
    <t>94</t>
  </si>
  <si>
    <t>End Fields of object [rtdxls.rtdxls.fundamentals_day_history_yahoo] on server [MySql.localhost]</t>
  </si>
  <si>
    <t>Start Column Properties of object [rtdxls.fundamentals_day_history_yahoo]</t>
  </si>
  <si>
    <t>End Column Properties of object [rtdxls.fundamentals_day_history_yahoo]</t>
  </si>
  <si>
    <t>=RTD("gartle.rtd",,"rtd-mysql","fundamentals_day_history_yahoo",[Symbol],[Date],"LastTradeTime")</t>
  </si>
  <si>
    <t>=RTD("gartle.rtd",,"rtd-mysql","fundamentals_day_history_yahoo",[Symbol],[Date],"Last")</t>
  </si>
  <si>
    <t>=RTD("gartle.rtd",,"rtd-mysql","fundamentals_day_history_yahoo",[Symbol],[Date],"Change")</t>
  </si>
  <si>
    <t>=RTD("gartle.rtd",,"rtd-mysql","fundamentals_day_history_yahoo",[Symbol],[Date],"PercentChange")</t>
  </si>
  <si>
    <t>=RTD("gartle.rtd",,"rtd-mysql","fundamentals_day_history_yahoo",[Symbol],[Date],"Open")</t>
  </si>
  <si>
    <t>=RTD("gartle.rtd",,"rtd-mysql","fundamentals_day_history_yahoo",[Symbol],[Date],"High")</t>
  </si>
  <si>
    <t>=RTD("gartle.rtd",,"rtd-mysql","fundamentals_day_history_yahoo",[Symbol],[Date],"Low")</t>
  </si>
  <si>
    <t>=RTD("gartle.rtd",,"rtd-mysql","fundamentals_day_history_yahoo",[Symbol],[Date],"Volume")</t>
  </si>
  <si>
    <t>=RTD("gartle.rtd",,"rtd-mysql","fundamentals_day_history_yahoo",[Symbol],[Date],"DaysRange")</t>
  </si>
  <si>
    <t>=RTD("gartle.rtd",,"rtd-mysql","fundamentals_day_history_yahoo",[Symbol],[Date],"PrevClose")</t>
  </si>
  <si>
    <t>=RTD("gartle.rtd",,"rtd-mysql","fundamentals_day_history_yahoo",[Symbol],[Date],"ShortRatio")</t>
  </si>
  <si>
    <t>=RTD("gartle.rtd",,"rtd-mysql","fundamentals_day_history_yahoo",[Symbol],[Date],"YearHigh")</t>
  </si>
  <si>
    <t>=RTD("gartle.rtd",,"rtd-mysql","fundamentals_day_history_yahoo",[Symbol],[Date],"YearLow")</t>
  </si>
  <si>
    <t>=RTD("gartle.rtd",,"rtd-mysql","fundamentals_day_history_yahoo",[Symbol],[Date],"YearRange")</t>
  </si>
  <si>
    <t>=RTD("gartle.rtd",,"rtd-mysql","fundamentals_day_history_yahoo",[Symbol],[Date],"ChangeFromYearHigh")</t>
  </si>
  <si>
    <t>=RTD("gartle.rtd",,"rtd-mysql","fundamentals_day_history_yahoo",[Symbol],[Date],"ChangeFromYearLow")</t>
  </si>
  <si>
    <t>=RTD("gartle.rtd",,"rtd-mysql","fundamentals_day_history_yahoo",[Symbol],[Date],"PercentChangeFromYearHigh")</t>
  </si>
  <si>
    <t>=RTD("gartle.rtd",,"rtd-mysql","fundamentals_day_history_yahoo",[Symbol],[Date],"PercentChangeFromYearLow")</t>
  </si>
  <si>
    <t>=RTD("gartle.rtd",,"rtd-mysql","fundamentals_day_history_yahoo",[Symbol],[Date],"MA50")</t>
  </si>
  <si>
    <t>=RTD("gartle.rtd",,"rtd-mysql","fundamentals_day_history_yahoo",[Symbol],[Date],"MA200")</t>
  </si>
  <si>
    <t>=RTD("gartle.rtd",,"rtd-mysql","fundamentals_day_history_yahoo",[Symbol],[Date],"ChangeFromMA50")</t>
  </si>
  <si>
    <t>=RTD("gartle.rtd",,"rtd-mysql","fundamentals_day_history_yahoo",[Symbol],[Date],"ChangeFromMA200")</t>
  </si>
  <si>
    <t>=RTD("gartle.rtd",,"rtd-mysql","fundamentals_day_history_yahoo",[Symbol],[Date],"PercentChangeFromMA50")</t>
  </si>
  <si>
    <t>=RTD("gartle.rtd",,"rtd-mysql","fundamentals_day_history_yahoo",[Symbol],[Date],"PercentChangeFromMA200")</t>
  </si>
  <si>
    <t>=RTD("gartle.rtd",,"rtd-mysql","fundamentals_day_history_yahoo",[Symbol],[Date],"AverageDailyVolume")</t>
  </si>
  <si>
    <t>=RTD("gartle.rtd",,"rtd-mysql","fundamentals_day_history_yahoo",[Symbol],[Date],"OneYearTargetPrice")</t>
  </si>
  <si>
    <t>=RTD("gartle.rtd",,"rtd-mysql","fundamentals_day_history_yahoo",[Symbol],[Date],"PE")</t>
  </si>
  <si>
    <t>=RTD("gartle.rtd",,"rtd-mysql","fundamentals_day_history_yahoo",[Symbol],[Date],"PEG")</t>
  </si>
  <si>
    <t>=RTD("gartle.rtd",,"rtd-mysql","fundamentals_day_history_yahoo",[Symbol],[Date],"EPSEstCurrentYear")</t>
  </si>
  <si>
    <t>=RTD("gartle.rtd",,"rtd-mysql","fundamentals_day_history_yahoo",[Symbol],[Date],"EPSEstNextQuarter")</t>
  </si>
  <si>
    <t>=RTD("gartle.rtd",,"rtd-mysql","fundamentals_day_history_yahoo",[Symbol],[Date],"EPSEstNextYear")</t>
  </si>
  <si>
    <t>=RTD("gartle.rtd",,"rtd-mysql","fundamentals_day_history_yahoo",[Symbol],[Date],"EarningsShare")</t>
  </si>
  <si>
    <t>=RTD("gartle.rtd",,"rtd-mysql","fundamentals_day_history_yahoo",[Symbol],[Date],"MarketCap")</t>
  </si>
  <si>
    <t>=RTD("gartle.rtd",,"rtd-mysql","fundamentals_day_history_yahoo",[Symbol],[Date],"DividendYield")</t>
  </si>
  <si>
    <t>=RTD("gartle.rtd",,"rtd-mysql","fundamentals_day_history_yahoo",[Symbol],[Date],"DividendShare")</t>
  </si>
  <si>
    <t>=RTD("gartle.rtd",,"rtd-mysql","fundamentals_day_history_yahoo",[Symbol],[Date],"ExDividendDate")</t>
  </si>
  <si>
    <t>=RTD("gartle.rtd",,"rtd-mysql","fundamentals_day_history_yahoo",[Symbol],[Date],"DividendPayDate")</t>
  </si>
  <si>
    <t>=RTD("gartle.rtd",,"rtd-mysql","fundamentals_day_history_yahoo",[Symbol],[Date],"BookValue")</t>
  </si>
  <si>
    <t>=RTD("gartle.rtd",,"rtd-mysql","fundamentals_day_history_yahoo",[Symbol],[Date],"PriceBook")</t>
  </si>
  <si>
    <t>=RTD("gartle.rtd",,"rtd-mysql","fundamentals_day_history_yahoo",[Symbol],[Date],"PriceSales")</t>
  </si>
  <si>
    <t>=RTD("gartle.rtd",,"rtd-mysql","fundamentals_day_history_yahoo",[Symbol],[Date],"PriceEPSEstCurrentYear")</t>
  </si>
  <si>
    <t>=RTD("gartle.rtd",,"rtd-mysql","fundamentals_day_history_yahoo",[Symbol],[Date],"PriceEPSEstNextYear")</t>
  </si>
  <si>
    <t>=RTD("gartle.rtd",,"rtd-mysql","fundamentals_day_history_yahoo",[Symbol],[Date],"EBITDA")</t>
  </si>
  <si>
    <t>=RTD("gartle.rtd",,"rtd-mysql","fundamentals_day_history_yahoo",[Symbol],[Date],"CompanyName")</t>
  </si>
  <si>
    <t>=RTD("gartle.rtd",,"rtd-mysql","fundamentals_day_history_yahoo",[Symbol],[Date],"StockExchange")</t>
  </si>
  <si>
    <t>=RTD("gartle.rtd",,"rtd-mysql","fundamentals_day_history_yahoo",[Symbol],[Date],"Commission")</t>
  </si>
  <si>
    <t>=RTD("gartle.rtd",,"rtd-mysql","fundamentals_day_history_yahoo",[Symbol],[Date],"Notes")</t>
  </si>
  <si>
    <t>=RTD("gartle.rtd",,"rtd-mysql","fundamentals_day_history_yahoo",[Symbol],[Date],"LastUpdateTimeStamp")</t>
  </si>
  <si>
    <t>=RTD("gartle.rtd",,"rtd-mysql","fundamentals_day_history_yahoo",[Symbol],[Date],"RTD_LastMessage")</t>
  </si>
  <si>
    <t>Start Fields of object [rtdxls.rtdxls.options_yahoo] on server [MySql.localhost]</t>
  </si>
  <si>
    <t>63</t>
  </si>
  <si>
    <t>60</t>
  </si>
  <si>
    <t>76</t>
  </si>
  <si>
    <t>End Fields of object [rtdxls.rtdxls.options_yahoo] on server [MySql.localhost]</t>
  </si>
  <si>
    <t>Start Column Properties of object [rtdxls.options_yahoo]</t>
  </si>
  <si>
    <t>$N$4:$N$7</t>
  </si>
  <si>
    <t>End Column Properties of object [rtdxls.options_yahoo]</t>
  </si>
  <si>
    <t>=RTD("gartle.rtd",,"rtd-mysql","options_yahoo",[Code],"Date")</t>
  </si>
  <si>
    <t>=RTD("gartle.rtd",,"rtd-mysql","options_yahoo",[Code],"Time")</t>
  </si>
  <si>
    <t>=RTD("gartle.rtd",,"rtd-mysql","options_yahoo",[Code],"OptionCode")</t>
  </si>
  <si>
    <t>=RTD("gartle.rtd",,"rtd-mysql","options_yahoo",[Code],"Symbol")</t>
  </si>
  <si>
    <t>=RTD("gartle.rtd",,"rtd-mysql","options_yahoo",[Code],"OptionSymbol")</t>
  </si>
  <si>
    <t>=RTD("gartle.rtd",,"rtd-mysql","options_yahoo",[Code],"ExpDate")</t>
  </si>
  <si>
    <t>=RTD("gartle.rtd",,"rtd-mysql","options_yahoo",[Code],"Strike")</t>
  </si>
  <si>
    <t>=RTD("gartle.rtd",,"rtd-mysql","options_yahoo",[Code],"Type")</t>
  </si>
  <si>
    <t>=RTD("gartle.rtd",,"rtd-mysql","options_yahoo",[Code],"Last")</t>
  </si>
  <si>
    <t>=RTD("gartle.rtd",,"rtd-mysql","options_yahoo",[Code],"Change")</t>
  </si>
  <si>
    <t>=RTD("gartle.rtd",,"rtd-mysql","options_yahoo",[Code],"PercentChange")</t>
  </si>
  <si>
    <t>=RTD("gartle.rtd",,"rtd-mysql","options_yahoo",[Code],"Mark")</t>
  </si>
  <si>
    <t>=RTD("gartle.rtd",,"rtd-mysql","options_yahoo",[Code],"Bid")</t>
  </si>
  <si>
    <t>=RTD("gartle.rtd",,"rtd-mysql","options_yahoo",[Code],"Ask")</t>
  </si>
  <si>
    <t>=RTD("gartle.rtd",,"rtd-mysql","options_yahoo",[Code],"Volume")</t>
  </si>
  <si>
    <t>=RTD("gartle.rtd",,"rtd-mysql","options_yahoo",[Code],"OpenInt")</t>
  </si>
  <si>
    <t>=RTD("gartle.rtd",,"rtd-mysql","options_yahoo",[Code],"LastUpdateTimeStamp")</t>
  </si>
  <si>
    <t>=RTD("gartle.rtd",,"rtd-mysql","options_yahoo",[Code],"RTD_LastMessage")</t>
  </si>
  <si>
    <t>Start Fields of object [rtdxls.rtdxls.option_day_history_yahoo] on server [MySql.localhost]</t>
  </si>
  <si>
    <t>End Fields of object [rtdxls.rtdxls.option_day_history_yahoo] on server [MySql.localhost]</t>
  </si>
  <si>
    <t>Start Column Properties of object [rtdxls.option_day_history_yahoo]</t>
  </si>
  <si>
    <t>End Column Properties of object [rtdxls.option_day_history_yahoo]</t>
  </si>
  <si>
    <t>=RTD("gartle.rtd",,"rtd-mysql","option_day_history_yahoo",[Code],[Date],"Time")</t>
  </si>
  <si>
    <t>=RTD("gartle.rtd",,"rtd-mysql","option_day_history_yahoo",[Code],[Date],"OptionCode")</t>
  </si>
  <si>
    <t>=RTD("gartle.rtd",,"rtd-mysql","option_day_history_yahoo",[Code],[Date],"Symbol")</t>
  </si>
  <si>
    <t>=RTD("gartle.rtd",,"rtd-mysql","option_day_history_yahoo",[Code],[Date],"OptionSymbol")</t>
  </si>
  <si>
    <t>=RTD("gartle.rtd",,"rtd-mysql","option_day_history_yahoo",[Code],[Date],"ExpDate")</t>
  </si>
  <si>
    <t>=RTD("gartle.rtd",,"rtd-mysql","option_day_history_yahoo",[Code],[Date],"Strike")</t>
  </si>
  <si>
    <t>=RTD("gartle.rtd",,"rtd-mysql","option_day_history_yahoo",[Code],[Date],"Type")</t>
  </si>
  <si>
    <t>=RTD("gartle.rtd",,"rtd-mysql","option_day_history_yahoo",[Code],[Date],"Last")</t>
  </si>
  <si>
    <t>=RTD("gartle.rtd",,"rtd-mysql","option_day_history_yahoo",[Code],[Date],"Change")</t>
  </si>
  <si>
    <t>=RTD("gartle.rtd",,"rtd-mysql","option_day_history_yahoo",[Code],[Date],"PercentChange")</t>
  </si>
  <si>
    <t>=RTD("gartle.rtd",,"rtd-mysql","option_day_history_yahoo",[Code],[Date],"Mark")</t>
  </si>
  <si>
    <t>=RTD("gartle.rtd",,"rtd-mysql","option_day_history_yahoo",[Code],[Date],"Bid")</t>
  </si>
  <si>
    <t>=RTD("gartle.rtd",,"rtd-mysql","option_day_history_yahoo",[Code],[Date],"Ask")</t>
  </si>
  <si>
    <t>=RTD("gartle.rtd",,"rtd-mysql","option_day_history_yahoo",[Code],[Date],"Volume")</t>
  </si>
  <si>
    <t>=RTD("gartle.rtd",,"rtd-mysql","option_day_history_yahoo",[Code],[Date],"OpenInt")</t>
  </si>
  <si>
    <t>=RTD("gartle.rtd",,"rtd-mysql","option_day_history_yahoo",[Code],[Date],"LastUpdateTimeStamp")</t>
  </si>
  <si>
    <t>=RTD("gartle.rtd",,"rtd-mysql","option_day_history_yahoo",[Code],[Date],"RTD_LastMessage")</t>
  </si>
  <si>
    <t>RealTimeToDB 2.0 - Stocks and Options from MySQL DB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</si>
  <si>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rtd-mysql.xlsx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</si>
  <si>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$G$3:$G$10</t>
  </si>
  <si>
    <t>Start Last Connect to DB values</t>
  </si>
  <si>
    <t>localhost</t>
  </si>
  <si>
    <t>False</t>
  </si>
  <si>
    <t>rtdxls</t>
  </si>
  <si>
    <t>Driver=MySQL ODBC 5.2 Unicode Driver</t>
  </si>
  <si>
    <t>End Last Connect to DB values</t>
  </si>
  <si>
    <t>Start Objects of query object [rtdxls.rtdxls.real_time_views] on server [MySql.localhost]</t>
  </si>
  <si>
    <t>fundamentals_day_history_yahoo</t>
  </si>
  <si>
    <t>fundamentals_yahoo</t>
  </si>
  <si>
    <t>options_tos</t>
  </si>
  <si>
    <t>rtdxls.options_tos</t>
  </si>
  <si>
    <t>options_tws</t>
  </si>
  <si>
    <t>rtdxls.options_tws</t>
  </si>
  <si>
    <t>options_yahoo</t>
  </si>
  <si>
    <t>option_day_history_tos</t>
  </si>
  <si>
    <t>rtdxls.option_day_history_tos</t>
  </si>
  <si>
    <t>option_day_history_tws</t>
  </si>
  <si>
    <t>rtdxls.option_day_history_tws</t>
  </si>
  <si>
    <t>option_day_history_yahoo</t>
  </si>
  <si>
    <t>quotes_es</t>
  </si>
  <si>
    <t>rtdxls.quotes_es</t>
  </si>
  <si>
    <t>quotes_tos</t>
  </si>
  <si>
    <t>rtdxls.quotes_tos</t>
  </si>
  <si>
    <t>quotes_tws</t>
  </si>
  <si>
    <t>rtdxls.quotes_tws</t>
  </si>
  <si>
    <t>quotes_vfx</t>
  </si>
  <si>
    <t>rtdxls.quotes_vfx</t>
  </si>
  <si>
    <t>quotes_yahoo</t>
  </si>
  <si>
    <t>quote_day_history_es</t>
  </si>
  <si>
    <t>rtdxls.quote_day_history_es</t>
  </si>
  <si>
    <t>quote_day_history_tos</t>
  </si>
  <si>
    <t>rtdxls.quote_day_history_tos</t>
  </si>
  <si>
    <t>quote_day_history_tws</t>
  </si>
  <si>
    <t>rtdxls.quote_day_history_tws</t>
  </si>
  <si>
    <t>quote_day_history_vfx</t>
  </si>
  <si>
    <t>rtdxls.quote_day_history_vfx</t>
  </si>
  <si>
    <t>quote_day_history_yahoo</t>
  </si>
  <si>
    <t>stocks_yahoo</t>
  </si>
  <si>
    <t>End Objects of query object [rtdxls.rtdxls.real_time_views] on server [MySql.localhost]</t>
  </si>
  <si>
    <t>Usage Steps</t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</si>
  <si>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MySQL. Use the setup package source code.</t>
    </r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</si>
  <si>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</si>
  <si>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</si>
  <si>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rtd-mysql.config data provider</t>
    </r>
    <r>
      <rPr>
        <sz val="11"/>
        <color theme="1"/>
        <rFont val="Calibri"/>
        <family val="2"/>
        <charset val="204"/>
        <scheme val="minor"/>
      </rPr>
      <t xml:space="preserve"> for MySQL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</si>
  <si>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</si>
  <si>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RealTimeToDB includes the preconfigured MySQL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</si>
</sst>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"/>
    <numFmt numFmtId="166" formatCode="[Color10]\+0.00;[Red]\-0.00;0.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0" fontId="0" fillId="0" borderId="0" xfId="0" applyNumberFormat="1"/>
    <xf numFmtId="3" fontId="0" fillId="0" borderId="0" xfId="0" applyNumberFormat="1"/>
    <xf numFmtId="165" fontId="0" fillId="0" borderId="0" xfId="0" applyNumberFormat="1"/>
    <xf numFmtId="0" fontId="5" fillId="0" borderId="0" xfId="0" applyFont="1"/>
  </cellXfs>
  <cellStyles count="2">
    <cellStyle name="Hyperlink" xfId="1" builtinId="8"/>
    <cellStyle name="Normal" xfId="0" builtinId="0"/>
  </cellStyles>
  <dxfs count="108"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9" formatCode="m/d/yyyy"/>
    </dxf>
    <dxf>
      <numFmt numFmtId="3" formatCode="#,##0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71.44</v>
        <stp/>
        <stp>rtd-mysql</stp>
        <stp>fundamentals_day_history_yahoo</stp>
        <stp>FB</stp>
        <stp>41694</stp>
        <stp>High</stp>
        <tr r="J5" s="6"/>
      </tp>
      <tp>
        <v>226.941</v>
        <stp/>
        <stp>rtd-mysql</stp>
        <stp>fundamentals_day_history_yahoo</stp>
        <stp>LNKD</stp>
        <stp>41694</stp>
        <stp>MA200</stp>
        <tr r="X7" s="6"/>
      </tp>
      <tp t="s">
        <v>AAPL</v>
        <stp/>
        <stp>rtd-mysql</stp>
        <stp>options_yahoo</stp>
        <stp>AAPL150117P00600000</stp>
        <stp>OptionSymbol</stp>
        <tr r="H7" s="9"/>
      </tp>
      <tp>
        <v>44.59</v>
        <stp/>
        <stp>rtd-mysql</stp>
        <stp>fundamentals_day_history_yahoo</stp>
        <stp>LNKD</stp>
        <stp>41694</stp>
        <stp>ChangeFromYearLow</stp>
        <tr r="T7" s="6"/>
      </tp>
      <tp t="s">
        <v>AAPL</v>
        <stp/>
        <stp>rtd-mysql</stp>
        <stp>options_yahoo</stp>
        <stp>AAPL150117C00600000</stp>
        <stp>OptionSymbol</stp>
        <tr r="H5" s="9"/>
      </tp>
      <tp>
        <v>37.659999999999997</v>
        <stp/>
        <stp>rtd-mysql</stp>
        <stp>fundamentals_yahoo</stp>
        <stp>MSFT</stp>
        <stp>Open</stp>
        <tr r="I8" s="7"/>
      </tp>
      <tp>
        <v>199.59</v>
        <stp/>
        <stp>rtd-mysql</stp>
        <stp>fundamentals_day_history_yahoo</stp>
        <stp>LNKD</stp>
        <stp>41694</stp>
        <stp>Last</stp>
        <tr r="F7" s="6"/>
      </tp>
      <tp>
        <v>8.7200000000000006</v>
        <stp/>
        <stp>rtd-mysql</stp>
        <stp>quote_day_history_yahoo</stp>
        <stp>GOOG</stp>
        <stp>41694</stp>
        <stp>Change</stp>
        <tr r="G6" s="10"/>
      </tp>
      <tp>
        <v>0.13</v>
        <stp/>
        <stp>rtd-mysql</stp>
        <stp>quote_day_history_yahoo</stp>
        <stp>YHOO</stp>
        <stp>41694</stp>
        <stp>Change</stp>
        <tr r="G10" s="10"/>
      </tp>
      <tp>
        <v>1011.66</v>
        <stp/>
        <stp>rtd-mysql</stp>
        <stp>fundamentals_day_history_yahoo</stp>
        <stp>GOOG</stp>
        <stp>41694</stp>
        <stp>MA200</stp>
        <tr r="X6" s="6"/>
      </tp>
      <tp>
        <v>2.9399999999999999E-2</v>
        <stp/>
        <stp>rtd-mysql</stp>
        <stp>fundamentals_yahoo</stp>
        <stp>MSFT</stp>
        <stp>PercentChangeFromMA50</stp>
        <tr r="AA8" s="7"/>
      </tp>
      <tp>
        <v>451.25</v>
        <stp/>
        <stp>rtd-mysql</stp>
        <stp>fundamentals_day_history_yahoo</stp>
        <stp>GOOG</stp>
        <stp>41694</stp>
        <stp>ChangeFromYearLow</stp>
        <tr r="T6" s="6"/>
      </tp>
      <tp>
        <v>2093480</v>
        <stp/>
        <stp>rtd-mysql</stp>
        <stp>fundamentals_yahoo</stp>
        <stp>GOOG</stp>
        <stp>AverageDailyVolume</stp>
        <tr r="AC6" s="7"/>
      </tp>
      <tp>
        <v>41695.187152777777</v>
        <stp/>
        <stp>rtd-mysql</stp>
        <stp>quote_day_history_yahoo</stp>
        <stp>GOOG</stp>
        <stp>41694</stp>
        <stp>LastUpdateTimeStamp</stp>
        <tr r="M6" s="10"/>
      </tp>
      <tp>
        <v>37.69</v>
        <stp/>
        <stp>rtd-mysql</stp>
        <stp>fundamentals_day_history_yahoo</stp>
        <stp>MSFT</stp>
        <stp>41694</stp>
        <stp>Last</stp>
        <tr r="F8" s="6"/>
      </tp>
      <tp>
        <v>68.75</v>
        <stp/>
        <stp>rtd-mysql</stp>
        <stp>quotes_yahoo</stp>
        <stp>FB</stp>
        <stp>Open</stp>
        <tr r="I5" s="11"/>
        <tr r="I5" s="1"/>
      </tp>
      <tp t="s">
        <v>407.5B</v>
        <stp/>
        <stp>rtd-mysql</stp>
        <stp>fundamentals_day_history_yahoo</stp>
        <stp>GOOG</stp>
        <stp>41694</stp>
        <stp>MarketCap</stp>
        <tr r="AK6" s="6"/>
      </tp>
      <tp>
        <v>41695.187152777777</v>
        <stp/>
        <stp>rtd-mysql</stp>
        <stp>quote_day_history_yahoo</stp>
        <stp>LNKD</stp>
        <stp>41694</stp>
        <stp>LastUpdateTimeStamp</stp>
        <tr r="M7" s="10"/>
      </tp>
      <tp>
        <v>54.87</v>
        <stp/>
        <stp>rtd-mysql</stp>
        <stp>fundamentals_day_history_yahoo</stp>
        <stp>FB</stp>
        <stp>41694</stp>
        <stp>PriceEPSEstCurrentYear</stp>
        <tr r="AS5" s="6"/>
      </tp>
      <tp t="s">
        <v>Yahoo Inc.</v>
        <stp/>
        <stp>rtd-mysql</stp>
        <stp>fundamentals_yahoo</stp>
        <stp>YHOO</stp>
        <stp>CompanyName</stp>
        <tr r="AV10" s="7"/>
      </tp>
      <tp t="s">
        <v>Technology</v>
        <stp/>
        <stp>rtd-mysql</stp>
        <stp>stocks_yahoo</stp>
        <stp>GOOG</stp>
        <stp>Sector</stp>
        <tr r="E6" s="12"/>
      </tp>
      <tp t="s">
        <v>AAPL</v>
        <stp/>
        <stp>rtd-mysql</stp>
        <stp>options_yahoo</stp>
        <stp>AAPL150117P00500000</stp>
        <stp>OptionSymbol</stp>
        <tr r="H6" s="9"/>
      </tp>
      <tp>
        <v>1620226</v>
        <stp/>
        <stp>rtd-mysql</stp>
        <stp>quotes_yahoo</stp>
        <stp>GOOG</stp>
        <stp>Volume</stp>
        <tr r="L6" s="1"/>
        <tr r="L6" s="11"/>
      </tp>
      <tp t="s">
        <v>24.057B</v>
        <stp/>
        <stp>rtd-mysql</stp>
        <stp>fundamentals_day_history_yahoo</stp>
        <stp>LNKD</stp>
        <stp>41694</stp>
        <stp>MarketCap</stp>
        <tr r="AK7" s="6"/>
      </tp>
      <tp t="s">
        <v>AAPL</v>
        <stp/>
        <stp>rtd-mysql</stp>
        <stp>options_yahoo</stp>
        <stp>AAPL150117C00500000</stp>
        <stp>OptionSymbol</stp>
        <tr r="H4" s="9"/>
      </tp>
      <tp>
        <v>1220.1600000000001</v>
        <stp/>
        <stp>rtd-mysql</stp>
        <stp>fundamentals_day_history_yahoo</stp>
        <stp>GOOG</stp>
        <stp>41694</stp>
        <stp>High</stp>
        <tr r="J6" s="6"/>
      </tp>
      <tp>
        <v>38.14</v>
        <stp/>
        <stp>rtd-mysql</stp>
        <stp>fundamentals_day_history_yahoo</stp>
        <stp>ORCL</stp>
        <stp>41694</stp>
        <stp>Last</stp>
        <tr r="F9" s="6"/>
      </tp>
      <tp>
        <v>27.33</v>
        <stp/>
        <stp>rtd-mysql</stp>
        <stp>fundamentals_day_history_yahoo</stp>
        <stp>MSFT</stp>
        <stp>41694</stp>
        <stp>YearLow</stp>
        <tr r="Q8" s="6"/>
      </tp>
      <tp>
        <v>16849600</v>
        <stp/>
        <stp>rtd-mysql</stp>
        <stp>fundamentals_day_history_yahoo</stp>
        <stp>YHOO</stp>
        <stp>41694</stp>
        <stp>AverageDailyVolume</stp>
        <tr r="AC10" s="6"/>
      </tp>
      <tp>
        <v>2093480</v>
        <stp/>
        <stp>rtd-mysql</stp>
        <stp>fundamentals_day_history_yahoo</stp>
        <stp>GOOG</stp>
        <stp>41694</stp>
        <stp>AverageDailyVolume</stp>
        <tr r="AC6" s="6"/>
      </tp>
      <tp t="s">
        <v>Google Inc.</v>
        <stp/>
        <stp>rtd-mysql</stp>
        <stp>fundamentals_yahoo</stp>
        <stp>GOOG</stp>
        <stp>CompanyName</stp>
        <tr r="AV6" s="7"/>
      </tp>
      <tp>
        <v>6.97</v>
        <stp/>
        <stp>rtd-mysql</stp>
        <stp>quote_day_history_yahoo</stp>
        <stp>LNKD</stp>
        <stp>41694</stp>
        <stp>Change</stp>
        <tr r="G7" s="10"/>
      </tp>
      <tp>
        <v>10135183</v>
        <stp/>
        <stp>rtd-mysql</stp>
        <stp>quote_day_history_yahoo</stp>
        <stp>AAPL</stp>
        <stp>41694</stp>
        <stp>Volume</stp>
        <tr r="L4" s="10"/>
      </tp>
      <tp>
        <v>37.119999999999997</v>
        <stp/>
        <stp>rtd-mysql</stp>
        <stp>fundamentals_day_history_yahoo</stp>
        <stp>YHOO</stp>
        <stp>41694</stp>
        <stp>Open</stp>
        <tr r="I10" s="6"/>
      </tp>
      <tp>
        <v>-5.2631578947368397E-2</v>
        <stp/>
        <stp>rtd-mysql</stp>
        <stp>options_yahoo</stp>
        <stp>AAPL150117P00500000</stp>
        <stp>PercentChange</stp>
        <tr r="N6" s="9"/>
      </tp>
      <tp>
        <v>1.1650485436893201E-2</v>
        <stp/>
        <stp>rtd-mysql</stp>
        <stp>options_yahoo</stp>
        <stp>AAPL150117P00600000</stp>
        <stp>PercentChange</stp>
        <tr r="N7" s="9"/>
      </tp>
      <tp>
        <v>6337</v>
        <stp/>
        <stp>rtd-mysql</stp>
        <stp>stocks_yahoo</stp>
        <stp>FB</stp>
        <stp>FullTimeEmployees</stp>
        <tr r="G5" s="12"/>
      </tp>
      <tp>
        <v>522.41999999999996</v>
        <stp/>
        <stp>rtd-mysql</stp>
        <stp>fundamentals_yahoo</stp>
        <stp>AAPL</stp>
        <stp>Low</stp>
        <tr r="K4" s="7"/>
      </tp>
      <tp>
        <v>0.66666666666666663</v>
        <stp/>
        <stp>rtd-mysql</stp>
        <stp>quotes_yahoo</stp>
        <stp>LNKD</stp>
        <stp>LastTradeTime</stp>
        <tr r="E7" s="11"/>
        <tr r="E7" s="1"/>
      </tp>
      <tp t="s">
        <v>CALL</v>
        <stp/>
        <stp>rtd-mysql</stp>
        <stp>options_yahoo</stp>
        <stp>AAPL150117C00600000</stp>
        <stp>Type</stp>
        <tr r="K5" s="9"/>
      </tp>
      <tp>
        <v>41694</v>
        <stp/>
        <stp>rtd-mysql</stp>
        <stp>quotes_yahoo</stp>
        <stp>ORCL</stp>
        <stp>LastTradeDate</stp>
        <tr r="D9" s="11"/>
        <tr r="D9" s="1"/>
      </tp>
      <tp t="s">
        <v>LinkedIn Corporat</v>
        <stp/>
        <stp>rtd-mysql</stp>
        <stp>fundamentals_yahoo</stp>
        <stp>LNKD</stp>
        <stp>CompanyName</stp>
        <tr r="AV7" s="7"/>
      </tp>
      <tp>
        <v>8.61</v>
        <stp/>
        <stp>rtd-mysql</stp>
        <stp>fundamentals_day_history_yahoo</stp>
        <stp>AAPL</stp>
        <stp>41694</stp>
        <stp>EPSEstNextQuarter</stp>
        <tr r="AH4" s="6"/>
      </tp>
      <tp t="s">
        <v>PUT</v>
        <stp/>
        <stp>rtd-mysql</stp>
        <stp>options_yahoo</stp>
        <stp>AAPL150117P00600000</stp>
        <stp>Type</stp>
        <tr r="K7" s="9"/>
      </tp>
      <tp>
        <v>41694</v>
        <stp/>
        <stp>rtd-mysql</stp>
        <stp>quotes_yahoo</stp>
        <stp>AAPL</stp>
        <stp>LastTradeDate</stp>
        <tr r="D4" s="1"/>
        <tr r="D4" s="11"/>
      </tp>
      <tp t="e">
        <v>#N/A</v>
        <stp/>
        <stp>rtd-mysql</stp>
        <stp>fundamentals_day_history_yahoo</stp>
        <stp>FB</stp>
        <stp>41694</stp>
        <stp>ExDividendDate</stp>
        <tr r="AN5" s="6"/>
      </tp>
      <tp>
        <v>38.159999999999997</v>
        <stp/>
        <stp>rtd-mysql</stp>
        <stp>fundamentals_yahoo</stp>
        <stp>ORCL</stp>
        <stp>Open</stp>
        <tr r="I9" s="7"/>
      </tp>
      <tp t="s">
        <v>38.870B</v>
        <stp/>
        <stp>rtd-mysql</stp>
        <stp>fundamentals_day_history_yahoo</stp>
        <stp>YHOO</stp>
        <stp>41694</stp>
        <stp>MarketCap</stp>
        <tr r="AK10" s="6"/>
      </tp>
      <tp>
        <v>10135183</v>
        <stp/>
        <stp>rtd-mysql</stp>
        <stp>quotes_yahoo</stp>
        <stp>AAPL</stp>
        <stp>Volume</stp>
        <tr r="L4" s="1"/>
        <tr r="L4" s="11"/>
      </tp>
      <tp t="s">
        <v>Consumer Goods</v>
        <stp/>
        <stp>rtd-mysql</stp>
        <stp>stocks_yahoo</stp>
        <stp>AAPL</stp>
        <stp>Sector</stp>
        <tr r="E4" s="12"/>
      </tp>
      <tp>
        <v>529.91989999999998</v>
        <stp/>
        <stp>rtd-mysql</stp>
        <stp>fundamentals_day_history_yahoo</stp>
        <stp>AAPL</stp>
        <stp>41694</stp>
        <stp>High</stp>
        <tr r="J4" s="6"/>
      </tp>
      <tp>
        <v>0.66666666666666663</v>
        <stp/>
        <stp>rtd-mysql</stp>
        <stp>quotes_yahoo</stp>
        <stp>GOOG</stp>
        <stp>LastTradeTime</stp>
        <tr r="E6" s="11"/>
        <tr r="E6" s="1"/>
      </tp>
      <tp>
        <v>0.61099999999999999</v>
        <stp/>
        <stp>rtd-mysql</stp>
        <stp>fundamentals_day_history_yahoo</stp>
        <stp>FB</stp>
        <stp>41694</stp>
        <stp>EarningsShare</stp>
        <tr r="AJ5" s="6"/>
      </tp>
      <tp t="e">
        <v>#N/A</v>
        <stp/>
        <stp>rtd-mysql</stp>
        <stp>fundamentals_day_history_yahoo</stp>
        <stp>FB</stp>
        <stp>41694</stp>
        <stp>Notes</stp>
        <tr r="AY5" s="6"/>
      </tp>
      <tp>
        <v>41694</v>
        <stp/>
        <stp>rtd-mysql</stp>
        <stp>quotes_yahoo</stp>
        <stp>YHOO</stp>
        <stp>LastTradeDate</stp>
        <tr r="D10" s="11"/>
        <tr r="D10" s="1"/>
      </tp>
      <tp t="s">
        <v>CALL</v>
        <stp/>
        <stp>rtd-mysql</stp>
        <stp>options_yahoo</stp>
        <stp>AAPL150117C00500000</stp>
        <stp>Type</stp>
        <tr r="K4" s="9"/>
      </tp>
      <tp t="s">
        <v>PUT</v>
        <stp/>
        <stp>rtd-mysql</stp>
        <stp>options_yahoo</stp>
        <stp>AAPL150117P00500000</stp>
        <stp>Type</stp>
        <tr r="K6" s="9"/>
      </tp>
      <tp>
        <v>34.547699999999999</v>
        <stp/>
        <stp>rtd-mysql</stp>
        <stp>fundamentals_day_history_yahoo</stp>
        <stp>YHOO</stp>
        <stp>41694</stp>
        <stp>MA200</stp>
        <tr r="X10" s="6"/>
      </tp>
      <tp>
        <v>16.84</v>
        <stp/>
        <stp>rtd-mysql</stp>
        <stp>fundamentals_day_history_yahoo</stp>
        <stp>YHOO</stp>
        <stp>41694</stp>
        <stp>ChangeFromYearLow</stp>
        <tr r="T10" s="6"/>
      </tp>
      <tp>
        <v>-7.63559768299105E-3</v>
        <stp/>
        <stp>rtd-mysql</stp>
        <stp>quotes_yahoo</stp>
        <stp>MSFT</stp>
        <stp>PercentChange</stp>
        <tr r="H8" s="1"/>
        <tr r="H8" s="11"/>
      </tp>
      <tp>
        <v>0.13</v>
        <stp/>
        <stp>rtd-mysql</stp>
        <stp>quotes_yahoo</stp>
        <stp>YHOO</stp>
        <stp>Change</stp>
        <tr r="G10" s="11"/>
        <tr r="G10" s="1"/>
      </tp>
      <tp>
        <v>42021</v>
        <stp/>
        <stp>rtd-mysql</stp>
        <stp>options_yahoo</stp>
        <stp>AAPL150117C00600000</stp>
        <stp>ExpDate</stp>
        <tr r="I5" s="9"/>
      </tp>
      <tp>
        <v>42021</v>
        <stp/>
        <stp>rtd-mysql</stp>
        <stp>options_yahoo</stp>
        <stp>AAPL150117P00600000</stp>
        <stp>ExpDate</stp>
        <tr r="I7" s="9"/>
      </tp>
      <tp>
        <v>42021</v>
        <stp/>
        <stp>rtd-mysql</stp>
        <stp>options_yahoo</stp>
        <stp>AAPL150117C00500000</stp>
        <stp>ExpDate</stp>
        <tr r="I4" s="9"/>
      </tp>
      <tp>
        <v>42021</v>
        <stp/>
        <stp>rtd-mysql</stp>
        <stp>options_yahoo</stp>
        <stp>AAPL150117P00500000</stp>
        <stp>ExpDate</stp>
        <tr r="I6" s="9"/>
      </tp>
      <tp>
        <v>527.54999999999995</v>
        <stp/>
        <stp>rtd-mysql</stp>
        <stp>fundamentals_yahoo</stp>
        <stp>AAPL</stp>
        <stp>Last</stp>
        <tr r="F4" s="7"/>
      </tp>
      <tp>
        <v>12745300</v>
        <stp/>
        <stp>rtd-mysql</stp>
        <stp>fundamentals_yahoo</stp>
        <stp>AAPL</stp>
        <stp>AverageDailyVolume</stp>
        <tr r="AC4" s="7"/>
      </tp>
      <tp t="s">
        <v>Mar 13</v>
        <stp/>
        <stp>rtd-mysql</stp>
        <stp>fundamentals_day_history_yahoo</stp>
        <stp>MSFT</stp>
        <stp>41694</stp>
        <stp>DividendPayDate</stp>
        <tr r="AO8" s="6"/>
      </tp>
      <tp>
        <v>2557250</v>
        <stp/>
        <stp>rtd-mysql</stp>
        <stp>fundamentals_day_history_yahoo</stp>
        <stp>LNKD</stp>
        <stp>41694</stp>
        <stp>AverageDailyVolume</stp>
        <tr r="AC7" s="6"/>
      </tp>
      <tp>
        <v>70.78</v>
        <stp/>
        <stp>rtd-mysql</stp>
        <stp>fundamentals_day_history_yahoo</stp>
        <stp>FB</stp>
        <stp>41694</stp>
        <stp>Last</stp>
        <tr r="F5" s="6"/>
      </tp>
      <tp t="s">
        <v>Technology</v>
        <stp/>
        <stp>rtd-mysql</stp>
        <stp>stocks_yahoo</stp>
        <stp>LNKD</stp>
        <stp>Sector</stp>
        <tr r="E7" s="12"/>
      </tp>
      <tp>
        <v>2718990</v>
        <stp/>
        <stp>rtd-mysql</stp>
        <stp>quotes_yahoo</stp>
        <stp>LNKD</stp>
        <stp>Volume</stp>
        <tr r="L7" s="1"/>
        <tr r="L7" s="11"/>
      </tp>
      <tp>
        <v>199.88</v>
        <stp/>
        <stp>rtd-mysql</stp>
        <stp>fundamentals_day_history_yahoo</stp>
        <stp>LNKD</stp>
        <stp>41694</stp>
        <stp>High</stp>
        <tr r="J7" s="6"/>
      </tp>
      <tp>
        <v>0.66666666666666663</v>
        <stp/>
        <stp>rtd-mysql</stp>
        <stp>fundamentals_day_history_yahoo</stp>
        <stp>FB</stp>
        <stp>41694</stp>
        <stp>LastTradeTime</stp>
        <tr r="E5" s="6"/>
      </tp>
      <tp>
        <v>17627200</v>
        <stp/>
        <stp>rtd-mysql</stp>
        <stp>fundamentals_yahoo</stp>
        <stp>ORCL</stp>
        <stp>AverageDailyVolume</stp>
        <tr r="AC9" s="7"/>
      </tp>
      <tp>
        <v>37.119999999999997</v>
        <stp/>
        <stp>rtd-mysql</stp>
        <stp>fundamentals_yahoo</stp>
        <stp>YHOO</stp>
        <stp>Open</stp>
        <tr r="I10" s="7"/>
      </tp>
      <tp>
        <v>1205.25</v>
        <stp/>
        <stp>rtd-mysql</stp>
        <stp>fundamentals_yahoo</stp>
        <stp>GOOG</stp>
        <stp>Open</stp>
        <tr r="I6" s="7"/>
      </tp>
      <tp>
        <v>31322364</v>
        <stp/>
        <stp>rtd-mysql</stp>
        <stp>quotes_yahoo</stp>
        <stp>MSFT</stp>
        <stp>Volume</stp>
        <tr r="L8" s="11"/>
        <tr r="L8" s="1"/>
      </tp>
      <tp t="s">
        <v>Technology</v>
        <stp/>
        <stp>rtd-mysql</stp>
        <stp>stocks_yahoo</stp>
        <stp>MSFT</stp>
        <stp>Sector</stp>
        <tr r="E8" s="12"/>
      </tp>
      <tp>
        <v>37.975000000000001</v>
        <stp/>
        <stp>rtd-mysql</stp>
        <stp>fundamentals_day_history_yahoo</stp>
        <stp>MSFT</stp>
        <stp>41694</stp>
        <stp>High</stp>
        <tr r="J8" s="6"/>
      </tp>
      <tp>
        <v>-0.28999999999999998</v>
        <stp/>
        <stp>rtd-mysql</stp>
        <stp>quote_day_history_yahoo</stp>
        <stp>MSFT</stp>
        <stp>41694</stp>
        <stp>Change</stp>
        <tr r="G8" s="10"/>
      </tp>
      <tp>
        <v>41695.187152777777</v>
        <stp/>
        <stp>rtd-mysql</stp>
        <stp>quote_day_history_yahoo</stp>
        <stp>YHOO</stp>
        <stp>41694</stp>
        <stp>LastUpdateTimeStamp</stp>
        <tr r="M10" s="10"/>
      </tp>
      <tp t="s">
        <v>Apple Inc.</v>
        <stp/>
        <stp>rtd-mysql</stp>
        <stp>fundamentals_yahoo</stp>
        <stp>AAPL</stp>
        <stp>CompanyName</stp>
        <tr r="AV4" s="7"/>
      </tp>
      <tp>
        <v>0.37</v>
        <stp/>
        <stp>rtd-mysql</stp>
        <stp>fundamentals_day_history_yahoo</stp>
        <stp>LNKD</stp>
        <stp>41694</stp>
        <stp>EPSEstNextQuarter</stp>
        <tr r="AH7" s="6"/>
      </tp>
      <tp>
        <v>191.51</v>
        <stp/>
        <stp>rtd-mysql</stp>
        <stp>fundamentals_yahoo</stp>
        <stp>LNKD</stp>
        <stp>Low</stp>
        <tr r="K7" s="7"/>
      </tp>
      <tp>
        <v>1.24</v>
        <stp/>
        <stp>rtd-mysql</stp>
        <stp>fundamentals_yahoo</stp>
        <stp>ORCL</stp>
        <stp>PEG</stp>
        <tr r="AF9" s="7"/>
      </tp>
      <tp>
        <v>2557250</v>
        <stp/>
        <stp>rtd-mysql</stp>
        <stp>fundamentals_yahoo</stp>
        <stp>LNKD</stp>
        <stp>AverageDailyVolume</stp>
        <tr r="AC7" s="7"/>
      </tp>
      <tp>
        <v>41695.187152777777</v>
        <stp/>
        <stp>rtd-mysql</stp>
        <stp>quote_day_history_yahoo</stp>
        <stp>AAPL</stp>
        <stp>41694</stp>
        <stp>LastUpdateTimeStamp</stp>
        <tr r="M4" s="10"/>
      </tp>
      <tp>
        <v>41695.187152777777</v>
        <stp/>
        <stp>rtd-mysql</stp>
        <stp>quote_day_history_yahoo</stp>
        <stp>ORCL</stp>
        <stp>41694</stp>
        <stp>LastUpdateTimeStamp</stp>
        <tr r="M9" s="10"/>
      </tp>
      <tp>
        <v>39742500</v>
        <stp/>
        <stp>rtd-mysql</stp>
        <stp>fundamentals_day_history_yahoo</stp>
        <stp>MSFT</stp>
        <stp>41694</stp>
        <stp>AverageDailyVolume</stp>
        <tr r="AC8" s="6"/>
      </tp>
      <tp>
        <v>12.04</v>
        <stp/>
        <stp>rtd-mysql</stp>
        <stp>fundamentals_day_history_yahoo</stp>
        <stp>GOOG</stp>
        <stp>41694</stp>
        <stp>EPSEstNextQuarter</stp>
        <tr r="AH6" s="6"/>
      </tp>
      <tp t="s">
        <v>NasdaqNM</v>
        <stp/>
        <stp>rtd-mysql</stp>
        <stp>fundamentals_day_history_yahoo</stp>
        <stp>FB</stp>
        <stp>41694</stp>
        <stp>StockExchange</stp>
        <tr r="AW5" s="6"/>
      </tp>
      <tp>
        <v>0</v>
        <stp/>
        <stp>rtd-mysql</stp>
        <stp>fundamentals_day_history_yahoo</stp>
        <stp>FB</stp>
        <stp>41694</stp>
        <stp>DividendShare</stp>
        <tr r="AM5" s="6"/>
      </tp>
      <tp>
        <v>1205.0999999999999</v>
        <stp/>
        <stp>rtd-mysql</stp>
        <stp>fundamentals_yahoo</stp>
        <stp>GOOG</stp>
        <stp>Low</stp>
        <tr r="K6" s="7"/>
      </tp>
      <tp>
        <v>39742500</v>
        <stp/>
        <stp>rtd-mysql</stp>
        <stp>fundamentals_yahoo</stp>
        <stp>MSFT</stp>
        <stp>AverageDailyVolume</stp>
        <tr r="AC8" s="7"/>
      </tp>
      <tp>
        <v>1.88</v>
        <stp/>
        <stp>rtd-mysql</stp>
        <stp>fundamentals_yahoo</stp>
        <stp>MSFT</stp>
        <stp>PEG</stp>
        <tr r="AF8" s="7"/>
      </tp>
      <tp>
        <v>10292762</v>
        <stp/>
        <stp>rtd-mysql</stp>
        <stp>quotes_yahoo</stp>
        <stp>ORCL</stp>
        <stp>Volume</stp>
        <tr r="L9" s="1"/>
        <tr r="L9" s="11"/>
      </tp>
      <tp t="s">
        <v>Technology</v>
        <stp/>
        <stp>rtd-mysql</stp>
        <stp>stocks_yahoo</stp>
        <stp>ORCL</stp>
        <stp>Sector</stp>
        <tr r="E9" s="12"/>
      </tp>
      <tp>
        <v>1212.51</v>
        <stp/>
        <stp>rtd-mysql</stp>
        <stp>fundamentals_day_history_yahoo</stp>
        <stp>GOOG</stp>
        <stp>41694</stp>
        <stp>Last</stp>
        <tr r="F6" s="6"/>
      </tp>
      <tp>
        <v>38.454999999999998</v>
        <stp/>
        <stp>rtd-mysql</stp>
        <stp>fundamentals_day_history_yahoo</stp>
        <stp>ORCL</stp>
        <stp>41694</stp>
        <stp>High</stp>
        <tr r="J9" s="6"/>
      </tp>
      <tp>
        <v>0.37</v>
        <stp/>
        <stp>rtd-mysql</stp>
        <stp>fundamentals_day_history_yahoo</stp>
        <stp>YHOO</stp>
        <stp>41694</stp>
        <stp>EPSEstNextQuarter</stp>
        <tr r="AH10" s="6"/>
      </tp>
      <tp>
        <v>36.82</v>
        <stp/>
        <stp>rtd-mysql</stp>
        <stp>fundamentals_yahoo</stp>
        <stp>YHOO</stp>
        <stp>Low</stp>
        <tr r="K10" s="7"/>
      </tp>
      <tp t="s">
        <v>470.6B</v>
        <stp/>
        <stp>rtd-mysql</stp>
        <stp>fundamentals_day_history_yahoo</stp>
        <stp>AAPL</stp>
        <stp>41694</stp>
        <stp>MarketCap</stp>
        <tr r="AK4" s="6"/>
      </tp>
      <tp>
        <v>0.04</v>
        <stp/>
        <stp>rtd-mysql</stp>
        <stp>quote_day_history_yahoo</stp>
        <stp>ORCL</stp>
        <stp>41694</stp>
        <stp>Change</stp>
        <tr r="G9" s="10"/>
      </tp>
      <tp>
        <v>0.66666666666666663</v>
        <stp/>
        <stp>rtd-mysql</stp>
        <stp>quotes_yahoo</stp>
        <stp>AAPL</stp>
        <stp>LastTradeTime</stp>
        <tr r="E4" s="1"/>
        <tr r="E4" s="11"/>
      </tp>
      <tp>
        <v>0.66736111111111107</v>
        <stp/>
        <stp>rtd-mysql</stp>
        <stp>quotes_yahoo</stp>
        <stp>ORCL</stp>
        <stp>LastTradeTime</stp>
        <tr r="E9" s="11"/>
        <tr r="E9" s="1"/>
      </tp>
      <tp>
        <v>41694</v>
        <stp/>
        <stp>rtd-mysql</stp>
        <stp>quotes_yahoo</stp>
        <stp>LNKD</stp>
        <stp>LastTradeDate</stp>
        <tr r="D7" s="11"/>
        <tr r="D7" s="1"/>
      </tp>
      <tp>
        <v>191.86</v>
        <stp/>
        <stp>rtd-mysql</stp>
        <stp>fundamentals_yahoo</stp>
        <stp>LNKD</stp>
        <stp>Open</stp>
        <tr r="I7" s="7"/>
      </tp>
      <tp>
        <v>527.54999999999995</v>
        <stp/>
        <stp>rtd-mysql</stp>
        <stp>fundamentals_day_history_yahoo</stp>
        <stp>AAPL</stp>
        <stp>41694</stp>
        <stp>Last</stp>
        <tr r="F4" s="6"/>
      </tp>
      <tp>
        <v>41694</v>
        <stp/>
        <stp>rtd-mysql</stp>
        <stp>quotes_yahoo</stp>
        <stp>GOOG</stp>
        <stp>LastTradeDate</stp>
        <tr r="D6" s="1"/>
        <tr r="D6" s="11"/>
      </tp>
      <tp>
        <v>0.66666666666666663</v>
        <stp/>
        <stp>rtd-mysql</stp>
        <stp>quotes_yahoo</stp>
        <stp>YHOO</stp>
        <stp>LastTradeTime</stp>
        <tr r="E10" s="1"/>
        <tr r="E10" s="11"/>
      </tp>
      <tp>
        <v>2.19</v>
        <stp/>
        <stp>rtd-mysql</stp>
        <stp>fundamentals_day_history_yahoo</stp>
        <stp>FB</stp>
        <stp>41694</stp>
        <stp>Change</stp>
        <tr r="G5" s="6"/>
      </tp>
      <tp t="s">
        <v/>
        <stp/>
        <stp>rtd-mysql</stp>
        <stp>quotes_yahoo</stp>
        <stp>FB</stp>
        <stp>RTD_LastMessage</stp>
        <tr r="N5" s="11"/>
        <tr r="N5" s="1"/>
      </tp>
      <tp>
        <v>41695.187141203707</v>
        <stp/>
        <stp>rtd-mysql</stp>
        <stp>option_day_history_yahoo</stp>
        <stp>AAPL150117P00500000</stp>
        <stp>41694</stp>
        <stp>LastUpdateTimeStamp</stp>
        <tr r="T6" s="8"/>
      </tp>
      <tp>
        <v>41695.187141203707</v>
        <stp/>
        <stp>rtd-mysql</stp>
        <stp>option_day_history_yahoo</stp>
        <stp>AAPL150117P00600000</stp>
        <stp>41694</stp>
        <stp>LastUpdateTimeStamp</stp>
        <tr r="T7" s="8"/>
      </tp>
      <tp>
        <v>517.43700000000001</v>
        <stp/>
        <stp>rtd-mysql</stp>
        <stp>fundamentals_day_history_yahoo</stp>
        <stp>AAPL</stp>
        <stp>41694</stp>
        <stp>MA200</stp>
        <tr r="X4" s="6"/>
      </tp>
      <tp t="e">
        <v>#N/A</v>
        <stp/>
        <stp>rtd-mysql</stp>
        <stp>fundamentals_day_history_yahoo</stp>
        <stp>FB</stp>
        <stp>41694</stp>
        <stp>DividendYield</stp>
        <tr r="AL5" s="6"/>
      </tp>
      <tp>
        <v>529.91989999999998</v>
        <stp/>
        <stp>rtd-mysql</stp>
        <stp>fundamentals_yahoo</stp>
        <stp>AAPL</stp>
        <stp>High</stp>
        <tr r="J4" s="7"/>
      </tp>
      <tp>
        <v>142.44999999999999</v>
        <stp/>
        <stp>rtd-mysql</stp>
        <stp>fundamentals_day_history_yahoo</stp>
        <stp>AAPL</stp>
        <stp>41694</stp>
        <stp>ChangeFromYearLow</stp>
        <tr r="T4" s="6"/>
      </tp>
      <tp>
        <v>17627200</v>
        <stp/>
        <stp>rtd-mysql</stp>
        <stp>fundamentals_day_history_yahoo</stp>
        <stp>ORCL</stp>
        <stp>41694</stp>
        <stp>AverageDailyVolume</stp>
        <tr r="AC9" s="6"/>
      </tp>
      <tp>
        <v>0.04</v>
        <stp/>
        <stp>rtd-mysql</stp>
        <stp>quotes_yahoo</stp>
        <stp>ORCL</stp>
        <stp>Change</stp>
        <tr r="G9" s="11"/>
        <tr r="G9" s="1"/>
      </tp>
      <tp>
        <v>37.71</v>
        <stp/>
        <stp>rtd-mysql</stp>
        <stp>fundamentals_yahoo</stp>
        <stp>YHOO</stp>
        <stp>High</stp>
        <tr r="J10" s="7"/>
      </tp>
      <tp>
        <v>1220.1600000000001</v>
        <stp/>
        <stp>rtd-mysql</stp>
        <stp>fundamentals_yahoo</stp>
        <stp>GOOG</stp>
        <stp>High</stp>
        <tr r="J6" s="7"/>
      </tp>
      <tp>
        <v>3.3</v>
        <stp/>
        <stp>rtd-mysql</stp>
        <stp>fundamentals_yahoo</stp>
        <stp>YHOO</stp>
        <stp>PEG</stp>
        <tr r="AF10" s="7"/>
      </tp>
      <tp t="s">
        <v/>
        <stp/>
        <stp>rtd-mysql</stp>
        <stp>options_yahoo</stp>
        <stp>AAPL150117P00500000</stp>
        <stp>RTD_LastMessage</stp>
        <tr r="U6" s="9"/>
      </tp>
      <tp t="s">
        <v/>
        <stp/>
        <stp>rtd-mysql</stp>
        <stp>options_yahoo</stp>
        <stp>AAPL150117C00500000</stp>
        <stp>RTD_LastMessage</stp>
        <tr r="U4" s="9"/>
      </tp>
      <tp>
        <v>37.659999999999997</v>
        <stp/>
        <stp>rtd-mysql</stp>
        <stp>fundamentals_day_history_yahoo</stp>
        <stp>MSFT</stp>
        <stp>41694</stp>
        <stp>Open</stp>
        <tr r="I8" s="6"/>
      </tp>
      <tp t="s">
        <v/>
        <stp/>
        <stp>rtd-mysql</stp>
        <stp>options_yahoo</stp>
        <stp>AAPL150117P00600000</stp>
        <stp>RTD_LastMessage</stp>
        <tr r="U7" s="9"/>
      </tp>
      <tp t="s">
        <v/>
        <stp/>
        <stp>rtd-mysql</stp>
        <stp>options_yahoo</stp>
        <stp>AAPL150117C00600000</stp>
        <stp>RTD_LastMessage</stp>
        <tr r="U5" s="9"/>
      </tp>
      <tp>
        <v>761.26</v>
        <stp/>
        <stp>rtd-mysql</stp>
        <stp>fundamentals_day_history_yahoo</stp>
        <stp>GOOG</stp>
        <stp>41694</stp>
        <stp>YearLow</stp>
        <tr r="Q6" s="6"/>
      </tp>
      <tp>
        <v>70.78</v>
        <stp/>
        <stp>rtd-mysql</stp>
        <stp>quotes_yahoo</stp>
        <stp>FB</stp>
        <stp>Last</stp>
        <tr r="F5" s="11"/>
        <tr r="F5" s="1"/>
      </tp>
      <tp>
        <v>37.69</v>
        <stp/>
        <stp>rtd-mysql</stp>
        <stp>fundamentals_yahoo</stp>
        <stp>MSFT</stp>
        <stp>Last</stp>
        <tr r="F8" s="7"/>
      </tp>
      <tp>
        <v>-4.6300000000000001E-2</v>
        <stp/>
        <stp>rtd-mysql</stp>
        <stp>fundamentals_yahoo</stp>
        <stp>LNKD</stp>
        <stp>PercentChangeFromMA50</stp>
        <tr r="AA7" s="7"/>
      </tp>
      <tp>
        <v>0.17130000000000001</v>
        <stp/>
        <stp>rtd-mysql</stp>
        <stp>fundamentals_yahoo</stp>
        <stp>FB</stp>
        <stp>PercentChangeFromMA50</stp>
        <tr r="AA5" s="7"/>
      </tp>
      <tp>
        <v>191.86</v>
        <stp/>
        <stp>rtd-mysql</stp>
        <stp>fundamentals_day_history_yahoo</stp>
        <stp>LNKD</stp>
        <stp>41694</stp>
        <stp>Open</stp>
        <tr r="I7" s="6"/>
      </tp>
      <tp>
        <v>2.1221999999999999</v>
        <stp/>
        <stp>rtd-mysql</stp>
        <stp>fundamentals_yahoo</stp>
        <stp>FB</stp>
        <stp>PercentChangeFromYearLow</stp>
        <tr r="V5" s="7"/>
      </tp>
      <tp>
        <v>4.9599999999999998E-2</v>
        <stp/>
        <stp>rtd-mysql</stp>
        <stp>fundamentals_yahoo</stp>
        <stp>GOOG</stp>
        <stp>PercentChangeFromMA50</stp>
        <tr r="AA6" s="7"/>
      </tp>
      <tp>
        <v>-0.28999999999999998</v>
        <stp/>
        <stp>rtd-mysql</stp>
        <stp>quotes_yahoo</stp>
        <stp>MSFT</stp>
        <stp>Change</stp>
        <tr r="G8" s="1"/>
        <tr r="G8" s="11"/>
      </tp>
      <tp>
        <v>31322364</v>
        <stp/>
        <stp>rtd-mysql</stp>
        <stp>quote_day_history_yahoo</stp>
        <stp>MSFT</stp>
        <stp>41694</stp>
        <stp>Volume</stp>
        <tr r="L8" s="10"/>
      </tp>
      <tp>
        <v>41695.187152777777</v>
        <stp/>
        <stp>rtd-mysql</stp>
        <stp>quote_day_history_yahoo</stp>
        <stp>MSFT</stp>
        <stp>41694</stp>
        <stp>LastUpdateTimeStamp</stp>
        <tr r="M8" s="10"/>
      </tp>
      <tp>
        <v>38.159999999999997</v>
        <stp/>
        <stp>rtd-mysql</stp>
        <stp>fundamentals_day_history_yahoo</stp>
        <stp>ORCL</stp>
        <stp>41694</stp>
        <stp>Open</stp>
        <tr r="I9" s="6"/>
      </tp>
      <tp>
        <v>6.97</v>
        <stp/>
        <stp>rtd-mysql</stp>
        <stp>quotes_yahoo</stp>
        <stp>LNKD</stp>
        <stp>Change</stp>
        <tr r="G7" s="11"/>
        <tr r="G7" s="1"/>
      </tp>
      <tp>
        <v>155</v>
        <stp/>
        <stp>rtd-mysql</stp>
        <stp>fundamentals_day_history_yahoo</stp>
        <stp>LNKD</stp>
        <stp>41694</stp>
        <stp>YearLow</stp>
        <tr r="Q7" s="6"/>
      </tp>
      <tp>
        <v>199.88</v>
        <stp/>
        <stp>rtd-mysql</stp>
        <stp>fundamentals_yahoo</stp>
        <stp>LNKD</stp>
        <stp>High</stp>
        <tr r="J7" s="7"/>
      </tp>
      <tp>
        <v>38.14</v>
        <stp/>
        <stp>rtd-mysql</stp>
        <stp>fundamentals_yahoo</stp>
        <stp>ORCL</stp>
        <stp>Last</stp>
        <tr r="F9" s="7"/>
      </tp>
      <tp t="e">
        <v>#N/A</v>
        <stp/>
        <stp>rtd-mysql</stp>
        <stp>fundamentals_day_history_yahoo</stp>
        <stp>GOOG</stp>
        <stp>41694</stp>
        <stp>DividendPayDate</stp>
        <tr r="AO6" s="6"/>
      </tp>
      <tp>
        <v>0.68239583333333331</v>
        <stp/>
        <stp>rtd-mysql</stp>
        <stp>options_yahoo</stp>
        <stp>AAPL150117P00600000</stp>
        <stp>Time</stp>
        <tr r="E7" s="9"/>
      </tp>
      <tp>
        <v>0.66666666666666663</v>
        <stp/>
        <stp>rtd-mysql</stp>
        <stp>quotes_yahoo</stp>
        <stp>MSFT</stp>
        <stp>LastTradeTime</stp>
        <tr r="E8" s="11"/>
        <tr r="E8" s="1"/>
      </tp>
      <tp>
        <v>0.68239583333333331</v>
        <stp/>
        <stp>rtd-mysql</stp>
        <stp>options_yahoo</stp>
        <stp>AAPL150117C00600000</stp>
        <stp>Time</stp>
        <tr r="E5" s="9"/>
      </tp>
      <tp>
        <v>76457640</v>
        <stp/>
        <stp>rtd-mysql</stp>
        <stp>fundamentals_day_history_yahoo</stp>
        <stp>FB</stp>
        <stp>41694</stp>
        <stp>Volume</stp>
        <tr r="L5" s="6"/>
      </tp>
      <tp>
        <v>7.2437883684031302E-3</v>
        <stp/>
        <stp>rtd-mysql</stp>
        <stp>quotes_yahoo</stp>
        <stp>GOOG</stp>
        <stp>PercentChange</stp>
        <tr r="H6" s="1"/>
        <tr r="H6" s="11"/>
      </tp>
      <tp>
        <v>37.42</v>
        <stp/>
        <stp>rtd-mysql</stp>
        <stp>fundamentals_day_history_yahoo</stp>
        <stp>YHOO</stp>
        <stp>41694</stp>
        <stp>Last</stp>
        <tr r="F10" s="6"/>
      </tp>
      <tp>
        <v>0.68239583333333331</v>
        <stp/>
        <stp>rtd-mysql</stp>
        <stp>options_yahoo</stp>
        <stp>AAPL150117P00500000</stp>
        <stp>Time</stp>
        <tr r="E6" s="9"/>
      </tp>
      <tp>
        <v>2.46551724137931E-2</v>
        <stp/>
        <stp>rtd-mysql</stp>
        <stp>options_yahoo</stp>
        <stp>AAPL150117C00500000</stp>
        <stp>PercentChange</stp>
        <tr r="N4" s="9"/>
      </tp>
      <tp>
        <v>3.65853658536585E-2</v>
        <stp/>
        <stp>rtd-mysql</stp>
        <stp>options_yahoo</stp>
        <stp>AAPL150117C00600000</stp>
        <stp>PercentChange</stp>
        <tr r="N5" s="9"/>
      </tp>
      <tp>
        <v>0.96</v>
        <stp/>
        <stp>rtd-mysql</stp>
        <stp>fundamentals_day_history_yahoo</stp>
        <stp>ORCL</stp>
        <stp>41694</stp>
        <stp>EPSEstNextQuarter</stp>
        <tr r="AH9" s="6"/>
      </tp>
      <tp>
        <v>0.68239583333333331</v>
        <stp/>
        <stp>rtd-mysql</stp>
        <stp>options_yahoo</stp>
        <stp>AAPL150117C00500000</stp>
        <stp>Time</stp>
        <tr r="E4" s="9"/>
      </tp>
      <tp>
        <v>38.049999999999997</v>
        <stp/>
        <stp>rtd-mysql</stp>
        <stp>fundamentals_yahoo</stp>
        <stp>ORCL</stp>
        <stp>Low</stp>
        <tr r="K9" s="7"/>
      </tp>
      <tp>
        <v>523.04</v>
        <stp/>
        <stp>rtd-mysql</stp>
        <stp>fundamentals_yahoo</stp>
        <stp>AAPL</stp>
        <stp>Open</stp>
        <tr r="I4" s="7"/>
      </tp>
      <tp>
        <v>3.6185235178070797E-2</v>
        <stp/>
        <stp>rtd-mysql</stp>
        <stp>quotes_yahoo</stp>
        <stp>LNKD</stp>
        <stp>PercentChange</stp>
        <tr r="H7" s="11"/>
        <tr r="H7" s="1"/>
      </tp>
      <tp>
        <v>3.16</v>
        <stp/>
        <stp>rtd-mysql</stp>
        <stp>fundamentals_yahoo</stp>
        <stp>LNKD</stp>
        <stp>PEG</stp>
        <tr r="AF7" s="7"/>
      </tp>
      <tp>
        <v>0.67</v>
        <stp/>
        <stp>rtd-mysql</stp>
        <stp>fundamentals_day_history_yahoo</stp>
        <stp>MSFT</stp>
        <stp>41694</stp>
        <stp>EPSEstNextQuarter</stp>
        <tr r="AH8" s="6"/>
      </tp>
      <tp>
        <v>37.54</v>
        <stp/>
        <stp>rtd-mysql</stp>
        <stp>fundamentals_yahoo</stp>
        <stp>MSFT</stp>
        <stp>Low</stp>
        <tr r="K8" s="7"/>
      </tp>
      <tp>
        <v>1.38</v>
        <stp/>
        <stp>rtd-mysql</stp>
        <stp>fundamentals_yahoo</stp>
        <stp>GOOG</stp>
        <stp>PEG</stp>
        <tr r="AF6" s="7"/>
      </tp>
      <tp>
        <v>10292762</v>
        <stp/>
        <stp>rtd-mysql</stp>
        <stp>quote_day_history_yahoo</stp>
        <stp>ORCL</stp>
        <stp>41694</stp>
        <stp>Volume</stp>
        <tr r="L9" s="10"/>
      </tp>
      <tp t="e">
        <v>#N/A</v>
        <stp/>
        <stp>rtd-mysql</stp>
        <stp>fundamentals_day_history_yahoo</stp>
        <stp>LNKD</stp>
        <stp>41694</stp>
        <stp>DividendPayDate</stp>
        <tr r="AO7" s="6"/>
      </tp>
      <tp t="s">
        <v>Microsoft Corpora</v>
        <stp/>
        <stp>rtd-mysql</stp>
        <stp>fundamentals_yahoo</stp>
        <stp>MSFT</stp>
        <stp>CompanyName</stp>
        <tr r="AV8" s="7"/>
      </tp>
      <tp>
        <v>37.42</v>
        <stp/>
        <stp>rtd-mysql</stp>
        <stp>fundamentals_yahoo</stp>
        <stp>YHOO</stp>
        <stp>Last</stp>
        <tr r="F10" s="7"/>
      </tp>
      <tp>
        <v>8.7200000000000006</v>
        <stp/>
        <stp>rtd-mysql</stp>
        <stp>quotes_yahoo</stp>
        <stp>GOOG</stp>
        <stp>Change</stp>
        <tr r="G6" s="11"/>
        <tr r="G6" s="1"/>
      </tp>
      <tp>
        <v>1212.51</v>
        <stp/>
        <stp>rtd-mysql</stp>
        <stp>fundamentals_yahoo</stp>
        <stp>GOOG</stp>
        <stp>Last</stp>
        <tr r="F6" s="7"/>
      </tp>
      <tp>
        <v>71.44</v>
        <stp/>
        <stp>rtd-mysql</stp>
        <stp>quotes_yahoo</stp>
        <stp>FB</stp>
        <stp>High</stp>
        <tr r="J5" s="11"/>
        <tr r="J5" s="1"/>
      </tp>
      <tp>
        <v>20.58</v>
        <stp/>
        <stp>rtd-mysql</stp>
        <stp>fundamentals_day_history_yahoo</stp>
        <stp>YHOO</stp>
        <stp>41694</stp>
        <stp>YearLow</stp>
        <tr r="Q10" s="6"/>
      </tp>
      <tp>
        <v>68.75</v>
        <stp/>
        <stp>rtd-mysql</stp>
        <stp>fundamentals_day_history_yahoo</stp>
        <stp>FB</stp>
        <stp>41694</stp>
        <stp>Open</stp>
        <tr r="I5" s="6"/>
      </tp>
      <tp t="s">
        <v>Oracle Corporatio</v>
        <stp/>
        <stp>rtd-mysql</stp>
        <stp>fundamentals_yahoo</stp>
        <stp>ORCL</stp>
        <stp>CompanyName</stp>
        <tr r="AV9" s="7"/>
      </tp>
      <tp>
        <v>0.63</v>
        <stp/>
        <stp>rtd-mysql</stp>
        <stp>fundamentals_yahoo</stp>
        <stp>AAPL</stp>
        <stp>PEG</stp>
        <tr r="AF4" s="7"/>
      </tp>
      <tp>
        <v>-0.01</v>
        <stp/>
        <stp>rtd-mysql</stp>
        <stp>fundamentals_yahoo</stp>
        <stp>AAPL</stp>
        <stp>PercentChangeFromMA50</stp>
        <tr r="AA4" s="7"/>
      </tp>
      <tp>
        <v>1.55E-2</v>
        <stp/>
        <stp>rtd-mysql</stp>
        <stp>fundamentals_yahoo</stp>
        <stp>ORCL</stp>
        <stp>PercentChangeFromMA50</stp>
        <tr r="AA9" s="7"/>
      </tp>
      <tp t="e">
        <v>#N/A</v>
        <stp/>
        <stp>rtd-mysql</stp>
        <stp>fundamentals_yahoo</stp>
        <stp>FB</stp>
        <stp>DividendPayDate</stp>
        <tr r="AO5" s="7"/>
      </tp>
      <tp>
        <v>37.975000000000001</v>
        <stp/>
        <stp>rtd-mysql</stp>
        <stp>fundamentals_yahoo</stp>
        <stp>MSFT</stp>
        <stp>High</stp>
        <tr r="J8" s="7"/>
      </tp>
      <tp t="e">
        <v>#N/A</v>
        <stp/>
        <stp>rtd-mysql</stp>
        <stp>fundamentals_day_history_yahoo</stp>
        <stp>FB</stp>
        <stp>41694</stp>
        <stp>DividendPayDate</stp>
        <tr r="AO5" s="6"/>
      </tp>
      <tp>
        <v>3.1899999999999998E-2</v>
        <stp/>
        <stp>rtd-mysql</stp>
        <stp>fundamentals_day_history_yahoo</stp>
        <stp>FB</stp>
        <stp>41694</stp>
        <stp>PercentChange</stp>
        <tr r="H5" s="6"/>
      </tp>
      <tp>
        <v>-2.63E-2</v>
        <stp/>
        <stp>rtd-mysql</stp>
        <stp>fundamentals_yahoo</stp>
        <stp>YHOO</stp>
        <stp>PercentChangeFromMA50</stp>
        <tr r="AA10" s="7"/>
      </tp>
      <tp>
        <v>1205.25</v>
        <stp/>
        <stp>rtd-mysql</stp>
        <stp>fundamentals_day_history_yahoo</stp>
        <stp>GOOG</stp>
        <stp>41694</stp>
        <stp>Open</stp>
        <tr r="I6" s="6"/>
      </tp>
      <tp>
        <v>15676729</v>
        <stp/>
        <stp>rtd-mysql</stp>
        <stp>quote_day_history_yahoo</stp>
        <stp>YHOO</stp>
        <stp>41694</stp>
        <stp>Volume</stp>
        <tr r="L10" s="10"/>
      </tp>
      <tp>
        <v>1620226</v>
        <stp/>
        <stp>rtd-mysql</stp>
        <stp>quote_day_history_yahoo</stp>
        <stp>GOOG</stp>
        <stp>41694</stp>
        <stp>Volume</stp>
        <tr r="L6" s="10"/>
      </tp>
      <tp>
        <v>385.1</v>
        <stp/>
        <stp>rtd-mysql</stp>
        <stp>fundamentals_day_history_yahoo</stp>
        <stp>AAPL</stp>
        <stp>41694</stp>
        <stp>YearLow</stp>
        <tr r="Q4" s="6"/>
      </tp>
      <tp>
        <v>29.86</v>
        <stp/>
        <stp>rtd-mysql</stp>
        <stp>fundamentals_day_history_yahoo</stp>
        <stp>ORCL</stp>
        <stp>41694</stp>
        <stp>YearLow</stp>
        <tr r="Q9" s="6"/>
      </tp>
      <tp>
        <v>41047</v>
        <stp/>
        <stp>rtd-mysql</stp>
        <stp>stocks_yahoo</stp>
        <stp>FB</stp>
        <stp>TradeStart</stp>
        <tr r="H5" s="12"/>
      </tp>
      <tp>
        <v>34.745100000000001</v>
        <stp/>
        <stp>rtd-mysql</stp>
        <stp>fundamentals_day_history_yahoo</stp>
        <stp>ORCL</stp>
        <stp>41694</stp>
        <stp>MA200</stp>
        <tr r="X9" s="6"/>
      </tp>
      <tp>
        <v>8.2799999999999994</v>
        <stp/>
        <stp>rtd-mysql</stp>
        <stp>fundamentals_day_history_yahoo</stp>
        <stp>ORCL</stp>
        <stp>41694</stp>
        <stp>ChangeFromYearLow</stp>
        <tr r="T9" s="6"/>
      </tp>
      <tp>
        <v>38.454999999999998</v>
        <stp/>
        <stp>rtd-mysql</stp>
        <stp>fundamentals_yahoo</stp>
        <stp>ORCL</stp>
        <stp>High</stp>
        <tr r="J9" s="7"/>
      </tp>
      <tp>
        <v>199.59</v>
        <stp/>
        <stp>rtd-mysql</stp>
        <stp>fundamentals_yahoo</stp>
        <stp>LNKD</stp>
        <stp>Last</stp>
        <tr r="F7" s="7"/>
      </tp>
      <tp>
        <v>523.04</v>
        <stp/>
        <stp>rtd-mysql</stp>
        <stp>fundamentals_day_history_yahoo</stp>
        <stp>AAPL</stp>
        <stp>41694</stp>
        <stp>Open</stp>
        <tr r="I4" s="6"/>
      </tp>
      <tp t="e">
        <v>#N/A</v>
        <stp/>
        <stp>rtd-mysql</stp>
        <stp>fundamentals_day_history_yahoo</stp>
        <stp>YHOO</stp>
        <stp>41694</stp>
        <stp>DividendPayDate</stp>
        <tr r="AO10" s="6"/>
      </tp>
      <tp>
        <v>12745300</v>
        <stp/>
        <stp>rtd-mysql</stp>
        <stp>fundamentals_day_history_yahoo</stp>
        <stp>AAPL</stp>
        <stp>41694</stp>
        <stp>AverageDailyVolume</stp>
        <tr r="AC4" s="6"/>
      </tp>
      <tp>
        <v>41694</v>
        <stp/>
        <stp>rtd-mysql</stp>
        <stp>options_yahoo</stp>
        <stp>AAPL150117C00600000</stp>
        <stp>Date</stp>
        <tr r="D5" s="9"/>
      </tp>
      <tp>
        <v>21.225000000000001</v>
        <stp/>
        <stp>rtd-mysql</stp>
        <stp>options_yahoo</stp>
        <stp>AAPL150117C00600000</stp>
        <stp>Mark</stp>
        <tr r="O5" s="9"/>
      </tp>
      <tp>
        <v>21.25</v>
        <stp/>
        <stp>rtd-mysql</stp>
        <stp>options_yahoo</stp>
        <stp>AAPL150117C00600000</stp>
        <stp>Last</stp>
        <tr r="L5" s="9"/>
      </tp>
      <tp>
        <v>41694</v>
        <stp/>
        <stp>rtd-mysql</stp>
        <stp>quotes_yahoo</stp>
        <stp>MSFT</stp>
        <stp>LastTradeDate</stp>
        <tr r="D8" s="11"/>
        <tr r="D8" s="1"/>
      </tp>
      <tp>
        <v>35.337499999999999</v>
        <stp/>
        <stp>rtd-mysql</stp>
        <stp>fundamentals_day_history_yahoo</stp>
        <stp>MSFT</stp>
        <stp>41694</stp>
        <stp>MA200</stp>
        <tr r="X8" s="6"/>
      </tp>
      <tp>
        <v>41694</v>
        <stp/>
        <stp>rtd-mysql</stp>
        <stp>options_yahoo</stp>
        <stp>AAPL150117P00600000</stp>
        <stp>Date</stp>
        <tr r="D7" s="9"/>
      </tp>
      <tp>
        <v>104.2</v>
        <stp/>
        <stp>rtd-mysql</stp>
        <stp>options_yahoo</stp>
        <stp>AAPL150117P00600000</stp>
        <stp>Last</stp>
        <tr r="L7" s="9"/>
      </tp>
      <tp>
        <v>100.8</v>
        <stp/>
        <stp>rtd-mysql</stp>
        <stp>options_yahoo</stp>
        <stp>AAPL150117P00600000</stp>
        <stp>Mark</stp>
        <tr r="O7" s="9"/>
      </tp>
      <tp>
        <v>15676729</v>
        <stp/>
        <stp>rtd-mysql</stp>
        <stp>quotes_yahoo</stp>
        <stp>YHOO</stp>
        <stp>Volume</stp>
        <tr r="L10" s="11"/>
        <tr r="L10" s="1"/>
      </tp>
      <tp>
        <v>22.67</v>
        <stp/>
        <stp>rtd-mysql</stp>
        <stp>fundamentals_yahoo</stp>
        <stp>FB</stp>
        <stp>YearLow</stp>
        <tr r="Q5" s="7"/>
      </tp>
      <tp>
        <v>3.4861893268972898E-3</v>
        <stp/>
        <stp>rtd-mysql</stp>
        <stp>quotes_yahoo</stp>
        <stp>YHOO</stp>
        <stp>PercentChange</stp>
        <tr r="H10" s="1"/>
        <tr r="H10" s="11"/>
      </tp>
      <tp>
        <v>10.36</v>
        <stp/>
        <stp>rtd-mysql</stp>
        <stp>fundamentals_day_history_yahoo</stp>
        <stp>MSFT</stp>
        <stp>41694</stp>
        <stp>ChangeFromYearLow</stp>
        <tr r="T8" s="6"/>
      </tp>
      <tp t="s">
        <v>Technology</v>
        <stp/>
        <stp>rtd-mysql</stp>
        <stp>stocks_yahoo</stp>
        <stp>YHOO</stp>
        <stp>Sector</stp>
        <tr r="E10" s="12"/>
      </tp>
      <tp>
        <v>37.71</v>
        <stp/>
        <stp>rtd-mysql</stp>
        <stp>fundamentals_day_history_yahoo</stp>
        <stp>YHOO</stp>
        <stp>41694</stp>
        <stp>High</stp>
        <tr r="J10" s="6"/>
      </tp>
      <tp>
        <v>22.67</v>
        <stp/>
        <stp>rtd-mysql</stp>
        <stp>fundamentals_day_history_yahoo</stp>
        <stp>FB</stp>
        <stp>41694</stp>
        <stp>YearLow</stp>
        <tr r="Q5" s="6"/>
      </tp>
      <tp>
        <v>41695.187141203707</v>
        <stp/>
        <stp>rtd-mysql</stp>
        <stp>option_day_history_yahoo</stp>
        <stp>AAPL150117C00500000</stp>
        <stp>41694</stp>
        <stp>LastUpdateTimeStamp</stp>
        <tr r="T4" s="8"/>
      </tp>
      <tp>
        <v>41695.187141203707</v>
        <stp/>
        <stp>rtd-mysql</stp>
        <stp>option_day_history_yahoo</stp>
        <stp>AAPL150117C00600000</stp>
        <stp>41694</stp>
        <stp>LastUpdateTimeStamp</stp>
        <tr r="T5" s="8"/>
      </tp>
      <tp>
        <v>41694</v>
        <stp/>
        <stp>rtd-mysql</stp>
        <stp>options_yahoo</stp>
        <stp>AAPL150117C00500000</stp>
        <stp>Date</stp>
        <tr r="D4" s="9"/>
      </tp>
      <tp>
        <v>59.225000000000001</v>
        <stp/>
        <stp>rtd-mysql</stp>
        <stp>options_yahoo</stp>
        <stp>AAPL150117C00500000</stp>
        <stp>Mark</stp>
        <tr r="O4" s="9"/>
      </tp>
      <tp>
        <v>59.43</v>
        <stp/>
        <stp>rtd-mysql</stp>
        <stp>options_yahoo</stp>
        <stp>AAPL150117C00500000</stp>
        <stp>Last</stp>
        <tr r="L4" s="9"/>
      </tp>
      <tp>
        <v>41694</v>
        <stp/>
        <stp>rtd-mysql</stp>
        <stp>options_yahoo</stp>
        <stp>AAPL150117P00500000</stp>
        <stp>Date</stp>
        <tr r="D6" s="9"/>
      </tp>
      <tp>
        <v>37.799999999999997</v>
        <stp/>
        <stp>rtd-mysql</stp>
        <stp>options_yahoo</stp>
        <stp>AAPL150117P00500000</stp>
        <stp>Last</stp>
        <tr r="L6" s="9"/>
      </tp>
      <tp>
        <v>38.15</v>
        <stp/>
        <stp>rtd-mysql</stp>
        <stp>options_yahoo</stp>
        <stp>AAPL150117P00500000</stp>
        <stp>Mark</stp>
        <tr r="O6" s="9"/>
      </tp>
      <tp t="s">
        <v>312.9B</v>
        <stp/>
        <stp>rtd-mysql</stp>
        <stp>fundamentals_day_history_yahoo</stp>
        <stp>MSFT</stp>
        <stp>41694</stp>
        <stp>MarketCap</stp>
        <tr r="AK8" s="6"/>
      </tp>
      <tp>
        <v>1.0498687664041999E-3</v>
        <stp/>
        <stp>rtd-mysql</stp>
        <stp>quotes_yahoo</stp>
        <stp>ORCL</stp>
        <stp>PercentChange</stp>
        <tr r="H9" s="11"/>
        <tr r="H9" s="1"/>
      </tp>
      <tp>
        <v>2.2999999999999998</v>
        <stp/>
        <stp>rtd-mysql</stp>
        <stp>quotes_yahoo</stp>
        <stp>AAPL</stp>
        <stp>Change</stp>
        <tr r="G4" s="1"/>
        <tr r="G4" s="11"/>
      </tp>
      <tp>
        <v>4.3788672060923401E-3</v>
        <stp/>
        <stp>rtd-mysql</stp>
        <stp>quotes_yahoo</stp>
        <stp>AAPL</stp>
        <stp>PercentChange</stp>
        <tr r="H4" s="11"/>
        <tr r="H4" s="1"/>
      </tp>
      <tp>
        <v>63988700</v>
        <stp/>
        <stp>rtd-mysql</stp>
        <stp>fundamentals_yahoo</stp>
        <stp>FB</stp>
        <stp>AverageDailyVolume</stp>
        <tr r="AC5" s="7"/>
      </tp>
      <tp t="s">
        <v>171.5B</v>
        <stp/>
        <stp>rtd-mysql</stp>
        <stp>fundamentals_day_history_yahoo</stp>
        <stp>ORCL</stp>
        <stp>41694</stp>
        <stp>MarketCap</stp>
        <tr r="AK9" s="6"/>
      </tp>
      <tp>
        <v>16849600</v>
        <stp/>
        <stp>rtd-mysql</stp>
        <stp>fundamentals_yahoo</stp>
        <stp>YHOO</stp>
        <stp>AverageDailyVolume</stp>
        <tr r="AC10" s="7"/>
      </tp>
      <tp>
        <v>2.2999999999999998</v>
        <stp/>
        <stp>rtd-mysql</stp>
        <stp>quote_day_history_yahoo</stp>
        <stp>AAPL</stp>
        <stp>41694</stp>
        <stp>Change</stp>
        <tr r="G4" s="10"/>
      </tp>
      <tp>
        <v>2718990</v>
        <stp/>
        <stp>rtd-mysql</stp>
        <stp>quote_day_history_yahoo</stp>
        <stp>LNKD</stp>
        <stp>41694</stp>
        <stp>Volume</stp>
        <tr r="L7" s="10"/>
      </tp>
      <tp t="s">
        <v>Feb 13</v>
        <stp/>
        <stp>rtd-mysql</stp>
        <stp>fundamentals_day_history_yahoo</stp>
        <stp>AAPL</stp>
        <stp>41694</stp>
        <stp>DividendPayDate</stp>
        <tr r="AO4" s="6"/>
      </tp>
      <tp t="s">
        <v>Jan 28</v>
        <stp/>
        <stp>rtd-mysql</stp>
        <stp>fundamentals_day_history_yahoo</stp>
        <stp>ORCL</stp>
        <stp>41694</stp>
        <stp>DividendPayDate</stp>
        <tr r="AO9" s="6"/>
      </tp>
      <tp>
        <v>1.2</v>
        <stp/>
        <stp>rtd-mysql</stp>
        <stp>options_yahoo</stp>
        <stp>AAPL150117P00600000</stp>
        <stp>Change</stp>
        <tr r="M7" s="9"/>
      </tp>
      <tp>
        <v>0.75</v>
        <stp/>
        <stp>rtd-mysql</stp>
        <stp>options_yahoo</stp>
        <stp>AAPL150117C00600000</stp>
        <stp>Change</stp>
        <tr r="M5" s="9"/>
      </tp>
      <tp>
        <v>-2.1</v>
        <stp/>
        <stp>rtd-mysql</stp>
        <stp>options_yahoo</stp>
        <stp>AAPL150117P00500000</stp>
        <stp>Change</stp>
        <tr r="M6" s="9"/>
      </tp>
      <tp>
        <v>1.43</v>
        <stp/>
        <stp>rtd-mysql</stp>
        <stp>options_yahoo</stp>
        <stp>AAPL150117C00500000</stp>
        <stp>Change</stp>
        <tr r="M4" s="9"/>
      </tp>
      <tp>
        <v>209.27</v>
        <stp/>
        <stp>rtd-mysql</stp>
        <stp>fundamentals_day_history_yahoo</stp>
        <stp>LNKD</stp>
        <stp>41694</stp>
        <stp>MA50</stp>
        <tr r="W7" s="6"/>
      </tp>
      <tp>
        <v>-57.97</v>
        <stp/>
        <stp>rtd-mysql</stp>
        <stp>fundamentals_yahoo</stp>
        <stp>LNKD</stp>
        <stp>ChangeFromYearHigh</stp>
        <tr r="S7" s="7"/>
      </tp>
      <tp>
        <v>863.77</v>
        <stp/>
        <stp>rtd-mysql</stp>
        <stp>fundamentals_yahoo</stp>
        <stp>LNKD</stp>
        <stp>PE</stp>
        <tr r="AE7" s="7"/>
      </tp>
      <tp t="s">
        <v>27.33 - 38.98</v>
        <stp/>
        <stp>rtd-mysql</stp>
        <stp>fundamentals_day_history_yahoo</stp>
        <stp>MSFT</stp>
        <stp>41694</stp>
        <stp>YearRange</stp>
        <tr r="R8" s="6"/>
      </tp>
      <tp>
        <v>14.07</v>
        <stp/>
        <stp>rtd-mysql</stp>
        <stp>fundamentals_day_history_yahoo</stp>
        <stp>MSFT</stp>
        <stp>41694</stp>
        <stp>PE</stp>
        <tr r="AE8" s="6"/>
      </tp>
      <tp>
        <v>1.2</v>
        <stp/>
        <stp>rtd-mysql</stp>
        <stp>option_day_history_yahoo</stp>
        <stp>AAPL150117P00600000</stp>
        <stp>41694</stp>
        <stp>Change</stp>
        <tr r="M7" s="8"/>
      </tp>
      <tp>
        <v>0.75</v>
        <stp/>
        <stp>rtd-mysql</stp>
        <stp>option_day_history_yahoo</stp>
        <stp>AAPL150117C00600000</stp>
        <stp>41694</stp>
        <stp>Change</stp>
        <tr r="M5" s="8"/>
      </tp>
      <tp>
        <v>-1.29</v>
        <stp/>
        <stp>rtd-mysql</stp>
        <stp>fundamentals_day_history_yahoo</stp>
        <stp>MSFT</stp>
        <stp>41694</stp>
        <stp>ChangeFromYearHigh</stp>
        <tr r="S8" s="6"/>
      </tp>
      <tp t="s">
        <v/>
        <stp/>
        <stp>rtd-mysql</stp>
        <stp>quotes_yahoo</stp>
        <stp>AAPL</stp>
        <stp>RTD_LastMessage</stp>
        <tr r="N4" s="1"/>
        <tr r="N4" s="11"/>
      </tp>
      <tp>
        <v>38.14</v>
        <stp/>
        <stp>rtd-mysql</stp>
        <stp>quotes_yahoo</stp>
        <stp>ORCL</stp>
        <stp>Last</stp>
        <tr r="F9" s="1"/>
        <tr r="F9" s="11"/>
      </tp>
      <tp>
        <v>41695.187141203707</v>
        <stp/>
        <stp>rtd-mysql</stp>
        <stp>fundamentals_yahoo</stp>
        <stp>YHOO</stp>
        <stp>LastUpdateTimeStamp</stp>
        <tr r="AZ10" s="7"/>
      </tp>
      <tp>
        <v>14.07</v>
        <stp/>
        <stp>rtd-mysql</stp>
        <stp>fundamentals_yahoo</stp>
        <stp>MSFT</stp>
        <stp>PE</stp>
        <tr r="AE8" s="7"/>
      </tp>
      <tp t="e">
        <v>#N/A</v>
        <stp/>
        <stp>rtd-mysql</stp>
        <stp>fundamentals_yahoo</stp>
        <stp>AAPL</stp>
        <stp>Commission</stp>
        <tr r="AX4" s="7"/>
      </tp>
      <tp>
        <v>-1.29</v>
        <stp/>
        <stp>rtd-mysql</stp>
        <stp>fundamentals_yahoo</stp>
        <stp>MSFT</stp>
        <stp>ChangeFromYearHigh</stp>
        <tr r="S8" s="7"/>
      </tp>
      <tp>
        <v>199.88</v>
        <stp/>
        <stp>rtd-mysql</stp>
        <stp>quotes_yahoo</stp>
        <stp>LNKD</stp>
        <stp>High</stp>
        <tr r="J7" s="11"/>
        <tr r="J7" s="1"/>
      </tp>
      <tp>
        <v>36.615299999999998</v>
        <stp/>
        <stp>rtd-mysql</stp>
        <stp>fundamentals_day_history_yahoo</stp>
        <stp>MSFT</stp>
        <stp>41694</stp>
        <stp>MA50</stp>
        <tr r="W8" s="6"/>
      </tp>
      <tp t="s">
        <v>29.86 - 38.77</v>
        <stp/>
        <stp>rtd-mysql</stp>
        <stp>fundamentals_day_history_yahoo</stp>
        <stp>ORCL</stp>
        <stp>41694</stp>
        <stp>YearRange</stp>
        <tr r="R9" s="6"/>
      </tp>
      <tp t="e">
        <v>#N/A</v>
        <stp/>
        <stp>rtd-mysql</stp>
        <stp>fundamentals_day_history_yahoo</stp>
        <stp>LNKD</stp>
        <stp>41694</stp>
        <stp>Commission</stp>
        <tr r="AX7" s="6"/>
      </tp>
      <tp>
        <v>0.66666666666666663</v>
        <stp/>
        <stp>rtd-mysql</stp>
        <stp>fundamentals_yahoo</stp>
        <stp>MSFT</stp>
        <stp>LastTradeTime</stp>
        <tr r="E8" s="7"/>
      </tp>
      <tp>
        <v>7.1999999999999998E-3</v>
        <stp/>
        <stp>rtd-mysql</stp>
        <stp>fundamentals_yahoo</stp>
        <stp>GOOG</stp>
        <stp>PercentChange</stp>
        <tr r="H6" s="7"/>
      </tp>
      <tp>
        <v>1.58</v>
        <stp/>
        <stp>rtd-mysql</stp>
        <stp>fundamentals_day_history_yahoo</stp>
        <stp>LNKD</stp>
        <stp>41694</stp>
        <stp>EPSEstCurrentYear</stp>
        <tr r="AG7" s="6"/>
      </tp>
      <tp>
        <v>-0.1031</v>
        <stp/>
        <stp>rtd-mysql</stp>
        <stp>fundamentals_day_history_yahoo</stp>
        <stp>YHOO</stp>
        <stp>41694</stp>
        <stp>PercentChangeFromYearHigh</stp>
        <tr r="U10" s="6"/>
      </tp>
      <tp>
        <v>2.3525</v>
        <stp/>
        <stp>rtd-mysql</stp>
        <stp>fundamentals_yahoo</stp>
        <stp>MSFT</stp>
        <stp>ChangeFromMA200</stp>
        <tr r="Z8" s="7"/>
      </tp>
      <tp>
        <v>4.5599999999999996</v>
        <stp/>
        <stp>rtd-mysql</stp>
        <stp>fundamentals_day_history_yahoo</stp>
        <stp>ORCL</stp>
        <stp>41694</stp>
        <stp>PriceSales</stp>
        <tr r="AR9" s="6"/>
      </tp>
      <tp>
        <v>3.6200000000000003E-2</v>
        <stp/>
        <stp>rtd-mysql</stp>
        <stp>fundamentals_yahoo</stp>
        <stp>LNKD</stp>
        <stp>PercentChange</stp>
        <tr r="H7" s="7"/>
      </tp>
      <tp>
        <v>3.1899999999999998E-2</v>
        <stp/>
        <stp>rtd-mysql</stp>
        <stp>fundamentals_yahoo</stp>
        <stp>FB</stp>
        <stp>PercentChange</stp>
        <tr r="H5" s="7"/>
      </tp>
      <tp>
        <v>51.81</v>
        <stp/>
        <stp>rtd-mysql</stp>
        <stp>fundamentals_day_history_yahoo</stp>
        <stp>GOOG</stp>
        <stp>41694</stp>
        <stp>EPSEstCurrentYear</stp>
        <tr r="AG6" s="6"/>
      </tp>
      <tp>
        <v>1.1000000000000001</v>
        <stp/>
        <stp>rtd-mysql</stp>
        <stp>fundamentals_yahoo</stp>
        <stp>AAPL</stp>
        <stp>ShortRatio</stp>
        <tr r="O4" s="7"/>
      </tp>
      <tp>
        <v>16.21</v>
        <stp/>
        <stp>rtd-mysql</stp>
        <stp>fundamentals_yahoo</stp>
        <stp>ORCL</stp>
        <stp>PE</stp>
        <tr r="AE9" s="7"/>
      </tp>
      <tp>
        <v>523.04</v>
        <stp/>
        <stp>rtd-mysql</stp>
        <stp>quotes_yahoo</stp>
        <stp>AAPL</stp>
        <stp>Open</stp>
        <tr r="I4" s="11"/>
        <tr r="I4" s="1"/>
      </tp>
      <tp>
        <v>-0.63</v>
        <stp/>
        <stp>rtd-mysql</stp>
        <stp>fundamentals_yahoo</stp>
        <stp>ORCL</stp>
        <stp>ChangeFromYearHigh</stp>
        <tr r="S9" s="7"/>
      </tp>
      <tp>
        <v>37.558199999999999</v>
        <stp/>
        <stp>rtd-mysql</stp>
        <stp>fundamentals_day_history_yahoo</stp>
        <stp>ORCL</stp>
        <stp>41694</stp>
        <stp>MA50</stp>
        <tr r="W9" s="6"/>
      </tp>
      <tp>
        <v>3.3948999999999998</v>
        <stp/>
        <stp>rtd-mysql</stp>
        <stp>fundamentals_yahoo</stp>
        <stp>ORCL</stp>
        <stp>ChangeFromMA200</stp>
        <tr r="Z9" s="7"/>
      </tp>
      <tp>
        <v>1.95E-2</v>
        <stp/>
        <stp>rtd-mysql</stp>
        <stp>fundamentals_yahoo</stp>
        <stp>AAPL</stp>
        <stp>PercentChangeFromMA200</stp>
        <tr r="AB4" s="7"/>
      </tp>
      <tp t="s">
        <v>36.82 - 37.71</v>
        <stp/>
        <stp>rtd-mysql</stp>
        <stp>fundamentals_day_history_yahoo</stp>
        <stp>YHOO</stp>
        <stp>41694</stp>
        <stp>DaysRange</stp>
        <tr r="M10" s="6"/>
      </tp>
      <tp>
        <v>1.7</v>
        <stp/>
        <stp>rtd-mysql</stp>
        <stp>fundamentals_day_history_yahoo</stp>
        <stp>LNKD</stp>
        <stp>41694</stp>
        <stp>ShortRatio</stp>
        <tr r="O7" s="6"/>
      </tp>
      <tp t="s">
        <v>NasdaqNM</v>
        <stp/>
        <stp>rtd-mysql</stp>
        <stp>fundamentals_yahoo</stp>
        <stp>MSFT</stp>
        <stp>StockExchange</stp>
        <tr r="AW8" s="7"/>
      </tp>
      <tp>
        <v>-2.1</v>
        <stp/>
        <stp>rtd-mysql</stp>
        <stp>option_day_history_yahoo</stp>
        <stp>AAPL150117P00500000</stp>
        <stp>41694</stp>
        <stp>Change</stp>
        <tr r="M6" s="8"/>
      </tp>
      <tp>
        <v>1.02</v>
        <stp/>
        <stp>rtd-mysql</stp>
        <stp>fundamentals_yahoo</stp>
        <stp>MSFT</stp>
        <stp>DividendShare</stp>
        <tr r="AM8" s="7"/>
      </tp>
      <tp>
        <v>1.43</v>
        <stp/>
        <stp>rtd-mysql</stp>
        <stp>option_day_history_yahoo</stp>
        <stp>AAPL150117C00500000</stp>
        <stp>41694</stp>
        <stp>Change</stp>
        <tr r="M4" s="8"/>
      </tp>
      <tp>
        <v>-0.1205</v>
        <stp/>
        <stp>rtd-mysql</stp>
        <stp>fundamentals_day_history_yahoo</stp>
        <stp>LNKD</stp>
        <stp>41694</stp>
        <stp>PercentChangeFromMA200</stp>
        <tr r="AB7" s="6"/>
      </tp>
      <tp>
        <v>1.58</v>
        <stp/>
        <stp>rtd-mysql</stp>
        <stp>fundamentals_day_history_yahoo</stp>
        <stp>YHOO</stp>
        <stp>41694</stp>
        <stp>EPSEstCurrentYear</stp>
        <tr r="AG10" s="6"/>
      </tp>
      <tp>
        <v>4.5599999999999996</v>
        <stp/>
        <stp>rtd-mysql</stp>
        <stp>fundamentals_yahoo</stp>
        <stp>ORCL</stp>
        <stp>PriceSales</stp>
        <tr r="AR9" s="7"/>
      </tp>
      <tp>
        <v>-0.22509999999999999</v>
        <stp/>
        <stp>rtd-mysql</stp>
        <stp>fundamentals_day_history_yahoo</stp>
        <stp>LNKD</stp>
        <stp>41694</stp>
        <stp>PercentChangeFromYearHigh</stp>
        <tr r="U7" s="6"/>
      </tp>
      <tp>
        <v>41.16</v>
        <stp/>
        <stp>rtd-mysql</stp>
        <stp>fundamentals_yahoo</stp>
        <stp>YHOO</stp>
        <stp>OneYearTargetPrice</stp>
        <tr r="AD10" s="7"/>
      </tp>
      <tp>
        <v>37.69</v>
        <stp/>
        <stp>rtd-mysql</stp>
        <stp>quotes_yahoo</stp>
        <stp>MSFT</stp>
        <stp>Last</stp>
        <tr r="F8" s="11"/>
        <tr r="F8" s="1"/>
      </tp>
      <tp>
        <v>38.1</v>
        <stp/>
        <stp>rtd-mysql</stp>
        <stp>fundamentals_day_history_yahoo</stp>
        <stp>ORCL</stp>
        <stp>41694</stp>
        <stp>PrevClose</stp>
        <tr r="N9" s="6"/>
      </tp>
      <tp t="s">
        <v>1205.10 - 1220.16</v>
        <stp/>
        <stp>rtd-mysql</stp>
        <stp>fundamentals_day_history_yahoo</stp>
        <stp>GOOG</stp>
        <stp>41694</stp>
        <stp>DaysRange</stp>
        <tr r="M6" s="6"/>
      </tp>
      <tp>
        <v>500</v>
        <stp/>
        <stp>rtd-mysql</stp>
        <stp>option_day_history_yahoo</stp>
        <stp>AAPL150117C00500000</stp>
        <stp>41694</stp>
        <stp>Strike</stp>
        <tr r="J4" s="8"/>
      </tp>
      <tp>
        <v>70.11</v>
        <stp/>
        <stp>rtd-mysql</stp>
        <stp>fundamentals_yahoo</stp>
        <stp>FB</stp>
        <stp>YearHigh</stp>
        <tr r="P5" s="7"/>
      </tp>
      <tp>
        <v>36.82</v>
        <stp/>
        <stp>rtd-mysql</stp>
        <stp>quote_day_history_yahoo</stp>
        <stp>YHOO</stp>
        <stp>41694</stp>
        <stp>Low</stp>
        <tr r="K10" s="10"/>
      </tp>
      <tp t="s">
        <v/>
        <stp/>
        <stp>rtd-mysql</stp>
        <stp>fundamentals_day_history_yahoo</stp>
        <stp>MSFT</stp>
        <stp>41694</stp>
        <stp>RTD_LastMessage</stp>
        <tr r="BA8" s="6"/>
      </tp>
      <tp>
        <v>500</v>
        <stp/>
        <stp>rtd-mysql</stp>
        <stp>option_day_history_yahoo</stp>
        <stp>AAPL150117P00500000</stp>
        <stp>41694</stp>
        <stp>Strike</stp>
        <tr r="J6" s="8"/>
      </tp>
      <tp>
        <v>45067</v>
        <stp/>
        <stp>rtd-mysql</stp>
        <stp>options_yahoo</stp>
        <stp>AAPL150117C00500000</stp>
        <stp>OpenInt</stp>
        <tr r="S4" s="9"/>
      </tp>
      <tp>
        <v>19360</v>
        <stp/>
        <stp>rtd-mysql</stp>
        <stp>options_yahoo</stp>
        <stp>AAPL150117P00500000</stp>
        <stp>OpenInt</stp>
        <tr r="S6" s="9"/>
      </tp>
      <tp>
        <v>26340</v>
        <stp/>
        <stp>rtd-mysql</stp>
        <stp>options_yahoo</stp>
        <stp>AAPL150117C00600000</stp>
        <stp>OpenInt</stp>
        <tr r="S5" s="9"/>
      </tp>
      <tp>
        <v>3872</v>
        <stp/>
        <stp>rtd-mysql</stp>
        <stp>options_yahoo</stp>
        <stp>AAPL150117P00600000</stp>
        <stp>OpenInt</stp>
        <tr r="S7" s="9"/>
      </tp>
      <tp>
        <v>1.1000000000000001</v>
        <stp/>
        <stp>rtd-mysql</stp>
        <stp>fundamentals_yahoo</stp>
        <stp>GOOG</stp>
        <stp>ShortRatio</stp>
        <tr r="O6" s="7"/>
      </tp>
      <tp>
        <v>37.71</v>
        <stp/>
        <stp>rtd-mysql</stp>
        <stp>quotes_yahoo</stp>
        <stp>YHOO</stp>
        <stp>High</stp>
        <tr r="J10" s="11"/>
        <tr r="J10" s="1"/>
      </tp>
      <tp>
        <v>1220.1600000000001</v>
        <stp/>
        <stp>rtd-mysql</stp>
        <stp>quotes_yahoo</stp>
        <stp>GOOG</stp>
        <stp>High</stp>
        <tr r="J6" s="11"/>
        <tr r="J6" s="1"/>
      </tp>
      <tp>
        <v>-2.9999999999999997E-4</v>
        <stp/>
        <stp>rtd-mysql</stp>
        <stp>fundamentals_day_history_yahoo</stp>
        <stp>GOOG</stp>
        <stp>41694</stp>
        <stp>PercentChangeFromYearHigh</stp>
        <tr r="U6" s="6"/>
      </tp>
      <tp>
        <v>0.19850000000000001</v>
        <stp/>
        <stp>rtd-mysql</stp>
        <stp>fundamentals_yahoo</stp>
        <stp>GOOG</stp>
        <stp>PercentChangeFromMA200</stp>
        <tr r="AB6" s="7"/>
      </tp>
      <tp>
        <v>37.979999999999997</v>
        <stp/>
        <stp>rtd-mysql</stp>
        <stp>fundamentals_day_history_yahoo</stp>
        <stp>MSFT</stp>
        <stp>41694</stp>
        <stp>PrevClose</stp>
        <tr r="N8" s="6"/>
      </tp>
      <tp t="s">
        <v>191.51 - 199.88</v>
        <stp/>
        <stp>rtd-mysql</stp>
        <stp>fundamentals_day_history_yahoo</stp>
        <stp>LNKD</stp>
        <stp>41694</stp>
        <stp>DaysRange</stp>
        <tr r="M7" s="6"/>
      </tp>
      <tp t="e">
        <v>#N/A</v>
        <stp/>
        <stp>rtd-mysql</stp>
        <stp>fundamentals_day_history_yahoo</stp>
        <stp>GOOG</stp>
        <stp>41694</stp>
        <stp>Commission</stp>
        <tr r="AX6" s="6"/>
      </tp>
      <tp>
        <v>-0.63</v>
        <stp/>
        <stp>rtd-mysql</stp>
        <stp>fundamentals_day_history_yahoo</stp>
        <stp>ORCL</stp>
        <stp>41694</stp>
        <stp>ChangeFromYearHigh</stp>
        <tr r="S9" s="6"/>
      </tp>
      <tp t="e">
        <v>#N/A</v>
        <stp/>
        <stp>rtd-mysql</stp>
        <stp>fundamentals_day_history_yahoo</stp>
        <stp>YHOO</stp>
        <stp>41694</stp>
        <stp>Commission</stp>
        <tr r="AX10" s="6"/>
      </tp>
      <tp>
        <v>70.040000000000006</v>
        <stp/>
        <stp>rtd-mysql</stp>
        <stp>fundamentals_yahoo</stp>
        <stp>FB</stp>
        <stp>OneYearTargetPrice</stp>
        <tr r="AD5" s="7"/>
      </tp>
      <tp>
        <v>16.21</v>
        <stp/>
        <stp>rtd-mysql</stp>
        <stp>fundamentals_day_history_yahoo</stp>
        <stp>ORCL</stp>
        <stp>41694</stp>
        <stp>PE</stp>
        <tr r="AE9" s="6"/>
      </tp>
      <tp>
        <v>41695.187141203707</v>
        <stp/>
        <stp>rtd-mysql</stp>
        <stp>fundamentals_yahoo</stp>
        <stp>GOOG</stp>
        <stp>LastUpdateTimeStamp</stp>
        <tr r="AZ6" s="7"/>
      </tp>
      <tp>
        <v>3.78</v>
        <stp/>
        <stp>rtd-mysql</stp>
        <stp>fundamentals_yahoo</stp>
        <stp>MSFT</stp>
        <stp>PriceSales</stp>
        <tr r="AR8" s="7"/>
      </tp>
      <tp>
        <v>41695.187141203707</v>
        <stp/>
        <stp>rtd-mysql</stp>
        <stp>fundamentals_yahoo</stp>
        <stp>LNKD</stp>
        <stp>LastUpdateTimeStamp</stp>
        <tr r="AZ7" s="7"/>
      </tp>
      <tp t="e">
        <v>#N/A</v>
        <stp/>
        <stp>rtd-mysql</stp>
        <stp>fundamentals_yahoo</stp>
        <stp>GOOG</stp>
        <stp>Commission</stp>
        <tr r="AX6" s="7"/>
      </tp>
      <tp>
        <v>15.19</v>
        <stp/>
        <stp>rtd-mysql</stp>
        <stp>fundamentals_yahoo</stp>
        <stp>LNKD</stp>
        <stp>PriceSales</stp>
        <tr r="AR7" s="7"/>
      </tp>
      <tp>
        <v>600</v>
        <stp/>
        <stp>rtd-mysql</stp>
        <stp>options_yahoo</stp>
        <stp>AAPL150117C00600000</stp>
        <stp>Strike</stp>
        <tr r="J5" s="9"/>
      </tp>
      <tp>
        <v>600</v>
        <stp/>
        <stp>rtd-mysql</stp>
        <stp>options_yahoo</stp>
        <stp>AAPL150117P00600000</stp>
        <stp>Strike</stp>
        <tr r="J7" s="9"/>
      </tp>
      <tp>
        <v>500</v>
        <stp/>
        <stp>rtd-mysql</stp>
        <stp>options_yahoo</stp>
        <stp>AAPL150117C00500000</stp>
        <stp>Strike</stp>
        <tr r="J4" s="9"/>
      </tp>
      <tp>
        <v>500</v>
        <stp/>
        <stp>rtd-mysql</stp>
        <stp>options_yahoo</stp>
        <stp>AAPL150117P00500000</stp>
        <stp>Strike</stp>
        <tr r="J6" s="9"/>
      </tp>
      <tp>
        <v>1.1000000000000001</v>
        <stp/>
        <stp>rtd-mysql</stp>
        <stp>fundamentals_day_history_yahoo</stp>
        <stp>YHOO</stp>
        <stp>41694</stp>
        <stp>ShortRatio</stp>
        <tr r="O10" s="6"/>
      </tp>
      <tp>
        <v>600</v>
        <stp/>
        <stp>rtd-mysql</stp>
        <stp>option_day_history_yahoo</stp>
        <stp>AAPL150117C00600000</stp>
        <stp>41694</stp>
        <stp>Strike</stp>
        <tr r="J5" s="8"/>
      </tp>
      <tp>
        <v>3.78</v>
        <stp/>
        <stp>rtd-mysql</stp>
        <stp>fundamentals_day_history_yahoo</stp>
        <stp>MSFT</stp>
        <stp>41694</stp>
        <stp>PriceSales</stp>
        <tr r="AR8" s="6"/>
      </tp>
      <tp>
        <v>1.1000000000000001</v>
        <stp/>
        <stp>rtd-mysql</stp>
        <stp>fundamentals_day_history_yahoo</stp>
        <stp>GOOG</stp>
        <stp>41694</stp>
        <stp>ShortRatio</stp>
        <tr r="O6" s="6"/>
      </tp>
      <tp>
        <v>2.69</v>
        <stp/>
        <stp>rtd-mysql</stp>
        <stp>fundamentals_yahoo</stp>
        <stp>MSFT</stp>
        <stp>DividendYield</stp>
        <tr r="AL8" s="7"/>
      </tp>
      <tp>
        <v>585.32000000000005</v>
        <stp/>
        <stp>rtd-mysql</stp>
        <stp>fundamentals_day_history_yahoo</stp>
        <stp>AAPL</stp>
        <stp>41694</stp>
        <stp>OneYearTargetPrice</stp>
        <tr r="AD4" s="6"/>
      </tp>
      <tp>
        <v>522.41999999999996</v>
        <stp/>
        <stp>rtd-mysql</stp>
        <stp>quote_day_history_yahoo</stp>
        <stp>AAPL</stp>
        <stp>41694</stp>
        <stp>Low</stp>
        <tr r="K4" s="10"/>
      </tp>
      <tp>
        <v>600</v>
        <stp/>
        <stp>rtd-mysql</stp>
        <stp>option_day_history_yahoo</stp>
        <stp>AAPL150117P00600000</stp>
        <stp>41694</stp>
        <stp>Strike</stp>
        <tr r="J7" s="8"/>
      </tp>
      <tp>
        <v>38.04</v>
        <stp/>
        <stp>rtd-mysql</stp>
        <stp>quote_day_history_yahoo</stp>
        <stp>ORCL</stp>
        <stp>41694</stp>
        <stp>Low</stp>
        <tr r="K9" s="10"/>
      </tp>
      <tp>
        <v>0.19850000000000001</v>
        <stp/>
        <stp>rtd-mysql</stp>
        <stp>fundamentals_day_history_yahoo</stp>
        <stp>GOOG</stp>
        <stp>41694</stp>
        <stp>PercentChangeFromMA200</stp>
        <tr r="AB6" s="6"/>
      </tp>
      <tp>
        <v>8.3099999999999993E-2</v>
        <stp/>
        <stp>rtd-mysql</stp>
        <stp>fundamentals_day_history_yahoo</stp>
        <stp>YHOO</stp>
        <stp>41694</stp>
        <stp>PercentChangeFromMA200</stp>
        <tr r="AB10" s="6"/>
      </tp>
      <tp>
        <v>532.86400000000003</v>
        <stp/>
        <stp>rtd-mysql</stp>
        <stp>fundamentals_yahoo</stp>
        <stp>AAPL</stp>
        <stp>MA50</stp>
        <tr r="W4" s="7"/>
      </tp>
      <tp>
        <v>41695.187141203707</v>
        <stp/>
        <stp>rtd-mysql</stp>
        <stp>fundamentals_yahoo</stp>
        <stp>AAPL</stp>
        <stp>LastUpdateTimeStamp</stp>
        <tr r="AZ4" s="7"/>
      </tp>
      <tp>
        <v>3.94</v>
        <stp/>
        <stp>rtd-mysql</stp>
        <stp>fundamentals_day_history_yahoo</stp>
        <stp>ORCL</stp>
        <stp>41694</stp>
        <stp>PriceBook</stp>
        <tr r="AQ9" s="6"/>
      </tp>
      <tp>
        <v>60.427300000000002</v>
        <stp/>
        <stp>rtd-mysql</stp>
        <stp>fundamentals_day_history_yahoo</stp>
        <stp>FB</stp>
        <stp>41694</stp>
        <stp>MA50</stp>
        <tr r="W5" s="6"/>
      </tp>
      <tp>
        <v>199.59</v>
        <stp/>
        <stp>rtd-mysql</stp>
        <stp>quotes_yahoo</stp>
        <stp>LNKD</stp>
        <stp>Last</stp>
        <tr r="F7" s="11"/>
        <tr r="F7" s="1"/>
      </tp>
      <tp>
        <v>38.454999999999998</v>
        <stp/>
        <stp>rtd-mysql</stp>
        <stp>quotes_yahoo</stp>
        <stp>ORCL</stp>
        <stp>High</stp>
        <tr r="J9" s="1"/>
        <tr r="J9" s="11"/>
      </tp>
      <tp>
        <v>3.7</v>
        <stp/>
        <stp>rtd-mysql</stp>
        <stp>fundamentals_day_history_yahoo</stp>
        <stp>MSFT</stp>
        <stp>41694</stp>
        <stp>PriceBook</stp>
        <tr r="AQ8" s="6"/>
      </tp>
      <tp>
        <v>-4.3</v>
        <stp/>
        <stp>rtd-mysql</stp>
        <stp>fundamentals_day_history_yahoo</stp>
        <stp>YHOO</stp>
        <stp>41694</stp>
        <stp>ChangeFromYearHigh</stp>
        <tr r="S10" s="6"/>
      </tp>
      <tp>
        <v>-0.36</v>
        <stp/>
        <stp>rtd-mysql</stp>
        <stp>fundamentals_day_history_yahoo</stp>
        <stp>GOOG</stp>
        <stp>41694</stp>
        <stp>ChangeFromYearHigh</stp>
        <tr r="S6" s="6"/>
      </tp>
      <tp>
        <v>41694</v>
        <stp/>
        <stp>rtd-mysql</stp>
        <stp>fundamentals_yahoo</stp>
        <stp>MSFT</stp>
        <stp>LastTradeDate</stp>
        <tr r="D8" s="7"/>
      </tp>
      <tp t="e">
        <v>#N/A</v>
        <stp/>
        <stp>rtd-mysql</stp>
        <stp>fundamentals_day_history_yahoo</stp>
        <stp>ORCL</stp>
        <stp>41694</stp>
        <stp>Commission</stp>
        <tr r="AX9" s="6"/>
      </tp>
      <tp>
        <v>31.66</v>
        <stp/>
        <stp>rtd-mysql</stp>
        <stp>fundamentals_day_history_yahoo</stp>
        <stp>GOOG</stp>
        <stp>41694</stp>
        <stp>PE</stp>
        <tr r="AE6" s="6"/>
      </tp>
      <tp>
        <v>29.6</v>
        <stp/>
        <stp>rtd-mysql</stp>
        <stp>fundamentals_day_history_yahoo</stp>
        <stp>YHOO</stp>
        <stp>41694</stp>
        <stp>PE</stp>
        <tr r="AE10" s="6"/>
      </tp>
      <tp>
        <v>0.17130000000000001</v>
        <stp/>
        <stp>rtd-mysql</stp>
        <stp>fundamentals_day_history_yahoo</stp>
        <stp>FB</stp>
        <stp>41694</stp>
        <stp>PercentChangeFromMA50</stp>
        <tr r="AA5" s="6"/>
      </tp>
      <tp t="s">
        <v/>
        <stp/>
        <stp>rtd-mysql</stp>
        <stp>quotes_yahoo</stp>
        <stp>YHOO</stp>
        <stp>RTD_LastMessage</stp>
        <tr r="N10" s="1"/>
        <tr r="N10" s="11"/>
      </tp>
      <tp>
        <v>3.5000000000000001E-3</v>
        <stp/>
        <stp>rtd-mysql</stp>
        <stp>fundamentals_yahoo</stp>
        <stp>YHOO</stp>
        <stp>PercentChange</stp>
        <tr r="H10" s="7"/>
      </tp>
      <tp>
        <v>2.69</v>
        <stp/>
        <stp>rtd-mysql</stp>
        <stp>fundamentals_yahoo</stp>
        <stp>AAPL</stp>
        <stp>PriceSales</stp>
        <tr r="AR4" s="7"/>
      </tp>
      <tp>
        <v>11.94</v>
        <stp/>
        <stp>rtd-mysql</stp>
        <stp>fundamentals_yahoo</stp>
        <stp>ORCL</stp>
        <stp>PriceEPSEstNextYear</stp>
        <tr r="AT9" s="7"/>
      </tp>
      <tp t="s">
        <v>522.42 - 529.9199</v>
        <stp/>
        <stp>rtd-mysql</stp>
        <stp>fundamentals_day_history_yahoo</stp>
        <stp>AAPL</stp>
        <stp>41694</stp>
        <stp>DaysRange</stp>
        <tr r="M4" s="6"/>
      </tp>
      <tp>
        <v>15.19</v>
        <stp/>
        <stp>rtd-mysql</stp>
        <stp>fundamentals_day_history_yahoo</stp>
        <stp>LNKD</stp>
        <stp>41694</stp>
        <stp>PriceSales</stp>
        <tr r="AR7" s="6"/>
      </tp>
      <tp>
        <v>4.4000000000000003E-3</v>
        <stp/>
        <stp>rtd-mysql</stp>
        <stp>fundamentals_yahoo</stp>
        <stp>AAPL</stp>
        <stp>PercentChange</stp>
        <tr r="H4" s="7"/>
      </tp>
      <tp>
        <v>1E-3</v>
        <stp/>
        <stp>rtd-mysql</stp>
        <stp>fundamentals_yahoo</stp>
        <stp>ORCL</stp>
        <stp>PercentChange</stp>
        <tr r="H9" s="7"/>
      </tp>
      <tp>
        <v>-8.2699999999999996E-2</v>
        <stp/>
        <stp>rtd-mysql</stp>
        <stp>fundamentals_day_history_yahoo</stp>
        <stp>AAPL</stp>
        <stp>41694</stp>
        <stp>PercentChangeFromYearHigh</stp>
        <tr r="U4" s="6"/>
      </tp>
      <tp>
        <v>1155.1899000000001</v>
        <stp/>
        <stp>rtd-mysql</stp>
        <stp>fundamentals_day_history_yahoo</stp>
        <stp>GOOG</stp>
        <stp>41694</stp>
        <stp>MA50</stp>
        <tr r="W6" s="6"/>
      </tp>
      <tp>
        <v>-0.36</v>
        <stp/>
        <stp>rtd-mysql</stp>
        <stp>fundamentals_yahoo</stp>
        <stp>GOOG</stp>
        <stp>ChangeFromYearHigh</stp>
        <tr r="S6" s="7"/>
      </tp>
      <tp>
        <v>31.66</v>
        <stp/>
        <stp>rtd-mysql</stp>
        <stp>fundamentals_yahoo</stp>
        <stp>GOOG</stp>
        <stp>PE</stp>
        <tr r="AE6" s="7"/>
      </tp>
      <tp>
        <v>13.05</v>
        <stp/>
        <stp>rtd-mysql</stp>
        <stp>fundamentals_yahoo</stp>
        <stp>MSFT</stp>
        <stp>PriceEPSEstNextYear</stp>
        <tr r="AT8" s="7"/>
      </tp>
      <tp>
        <v>2.5</v>
        <stp/>
        <stp>rtd-mysql</stp>
        <stp>fundamentals_day_history_yahoo</stp>
        <stp>ORCL</stp>
        <stp>41694</stp>
        <stp>ShortRatio</stp>
        <tr r="O9" s="6"/>
      </tp>
      <tp>
        <v>9.7699999999999995E-2</v>
        <stp/>
        <stp>rtd-mysql</stp>
        <stp>fundamentals_day_history_yahoo</stp>
        <stp>ORCL</stp>
        <stp>41694</stp>
        <stp>PercentChangeFromMA200</stp>
        <tr r="AB9" s="6"/>
      </tp>
      <tp t="e">
        <v>#N/A</v>
        <stp/>
        <stp>rtd-mysql</stp>
        <stp>fundamentals_yahoo</stp>
        <stp>LNKD</stp>
        <stp>Commission</stp>
        <tr r="AX7" s="7"/>
      </tp>
      <tp>
        <v>37.975000000000001</v>
        <stp/>
        <stp>rtd-mysql</stp>
        <stp>quotes_yahoo</stp>
        <stp>MSFT</stp>
        <stp>High</stp>
        <tr r="J8" s="1"/>
        <tr r="J8" s="11"/>
      </tp>
      <tp>
        <v>6.76</v>
        <stp/>
        <stp>rtd-mysql</stp>
        <stp>fundamentals_yahoo</stp>
        <stp>GOOG</stp>
        <stp>PriceSales</stp>
        <tr r="AR6" s="7"/>
      </tp>
      <tp t="s">
        <v>AAPL</v>
        <stp/>
        <stp>rtd-mysql</stp>
        <stp>options_yahoo</stp>
        <stp>AAPL150117P00600000</stp>
        <stp>Symbol</stp>
        <tr r="G7" s="9"/>
      </tp>
      <tp t="s">
        <v>AAPL</v>
        <stp/>
        <stp>rtd-mysql</stp>
        <stp>options_yahoo</stp>
        <stp>AAPL150117C00600000</stp>
        <stp>Symbol</stp>
        <tr r="G5" s="9"/>
      </tp>
      <tp t="s">
        <v>AAPL</v>
        <stp/>
        <stp>rtd-mysql</stp>
        <stp>options_yahoo</stp>
        <stp>AAPL150117P00500000</stp>
        <stp>Symbol</stp>
        <tr r="G6" s="9"/>
      </tp>
      <tp t="s">
        <v>AAPL</v>
        <stp/>
        <stp>rtd-mysql</stp>
        <stp>options_yahoo</stp>
        <stp>AAPL150117C00500000</stp>
        <stp>Symbol</stp>
        <tr r="G4" s="9"/>
      </tp>
      <tp>
        <v>10.253</v>
        <stp/>
        <stp>rtd-mysql</stp>
        <stp>fundamentals_day_history_yahoo</stp>
        <stp>MSFT</stp>
        <stp>41694</stp>
        <stp>BookValue</stp>
        <tr r="AP8" s="6"/>
      </tp>
      <tp t="s">
        <v>AAPL</v>
        <stp/>
        <stp>rtd-mysql</stp>
        <stp>option_day_history_yahoo</stp>
        <stp>AAPL150117C00600000</stp>
        <stp>41694</stp>
        <stp>Symbol</stp>
        <tr r="G5" s="8"/>
      </tp>
      <tp>
        <v>1205.0999999999999</v>
        <stp/>
        <stp>rtd-mysql</stp>
        <stp>quote_day_history_yahoo</stp>
        <stp>GOOG</stp>
        <stp>41694</stp>
        <stp>Low</stp>
        <tr r="K6" s="10"/>
      </tp>
      <tp t="e">
        <v>#N/A</v>
        <stp/>
        <stp>rtd-mysql</stp>
        <stp>fundamentals_day_history_yahoo</stp>
        <stp>MSFT</stp>
        <stp>41694</stp>
        <stp>Commission</stp>
        <tr r="AX8" s="6"/>
      </tp>
      <tp t="s">
        <v>AAPL</v>
        <stp/>
        <stp>rtd-mysql</stp>
        <stp>option_day_history_yahoo</stp>
        <stp>AAPL150117P00600000</stp>
        <stp>41694</stp>
        <stp>Symbol</stp>
        <tr r="G7" s="8"/>
      </tp>
      <tp>
        <v>-47.59</v>
        <stp/>
        <stp>rtd-mysql</stp>
        <stp>fundamentals_yahoo</stp>
        <stp>AAPL</stp>
        <stp>ChangeFromYearHigh</stp>
        <tr r="S4" s="7"/>
      </tp>
      <tp>
        <v>37.42</v>
        <stp/>
        <stp>rtd-mysql</stp>
        <stp>quotes_yahoo</stp>
        <stp>YHOO</stp>
        <stp>Last</stp>
        <tr r="F10" s="11"/>
        <tr r="F10" s="1"/>
      </tp>
      <tp>
        <v>532.86400000000003</v>
        <stp/>
        <stp>rtd-mysql</stp>
        <stp>fundamentals_day_history_yahoo</stp>
        <stp>AAPL</stp>
        <stp>41694</stp>
        <stp>MA50</stp>
        <tr r="W4" s="6"/>
      </tp>
      <tp>
        <v>1212.51</v>
        <stp/>
        <stp>rtd-mysql</stp>
        <stp>quotes_yahoo</stp>
        <stp>GOOG</stp>
        <stp>Last</stp>
        <tr r="F6" s="1"/>
        <tr r="F6" s="11"/>
      </tp>
      <tp>
        <v>2.5</v>
        <stp/>
        <stp>rtd-mysql</stp>
        <stp>fundamentals_yahoo</stp>
        <stp>ORCL</stp>
        <stp>ShortRatio</stp>
        <tr r="O9" s="7"/>
      </tp>
      <tp>
        <v>13.06</v>
        <stp/>
        <stp>rtd-mysql</stp>
        <stp>fundamentals_yahoo</stp>
        <stp>AAPL</stp>
        <stp>PE</stp>
        <tr r="AE4" s="7"/>
      </tp>
      <tp>
        <v>42.77</v>
        <stp/>
        <stp>rtd-mysql</stp>
        <stp>fundamentals_day_history_yahoo</stp>
        <stp>AAPL</stp>
        <stp>41694</stp>
        <stp>EPSEstCurrentYear</stp>
        <tr r="AG4" s="6"/>
      </tp>
      <tp t="e">
        <v>#N/A</v>
        <stp/>
        <stp>rtd-mysql</stp>
        <stp>fundamentals_yahoo</stp>
        <stp>MSFT</stp>
        <stp>Commission</stp>
        <tr r="AX8" s="7"/>
      </tp>
      <tp>
        <v>1.68</v>
        <stp/>
        <stp>rtd-mysql</stp>
        <stp>fundamentals_day_history_yahoo</stp>
        <stp>FB</stp>
        <stp>41694</stp>
        <stp>EPSEstNextYear</stp>
        <tr r="AI5" s="6"/>
      </tp>
      <tp>
        <v>9.6679999999999993</v>
        <stp/>
        <stp>rtd-mysql</stp>
        <stp>fundamentals_day_history_yahoo</stp>
        <stp>ORCL</stp>
        <stp>41694</stp>
        <stp>BookValue</stp>
        <tr r="AP9" s="6"/>
      </tp>
      <tp>
        <v>9.7699999999999995E-2</v>
        <stp/>
        <stp>rtd-mysql</stp>
        <stp>fundamentals_yahoo</stp>
        <stp>ORCL</stp>
        <stp>PercentChangeFromMA200</stp>
        <tr r="AB9" s="7"/>
      </tp>
      <tp>
        <v>-57.97</v>
        <stp/>
        <stp>rtd-mysql</stp>
        <stp>fundamentals_day_history_yahoo</stp>
        <stp>LNKD</stp>
        <stp>41694</stp>
        <stp>ChangeFromYearHigh</stp>
        <tr r="S7" s="6"/>
      </tp>
      <tp>
        <v>863.77</v>
        <stp/>
        <stp>rtd-mysql</stp>
        <stp>fundamentals_day_history_yahoo</stp>
        <stp>LNKD</stp>
        <stp>41694</stp>
        <stp>PE</stp>
        <tr r="AE7" s="6"/>
      </tp>
      <tp>
        <v>38.1</v>
        <stp/>
        <stp>rtd-mysql</stp>
        <stp>option_day_history_yahoo</stp>
        <stp>AAPL150117P00500000</stp>
        <stp>41694</stp>
        <stp>Bid</stp>
        <tr r="P6" s="8"/>
      </tp>
      <tp>
        <v>100.15</v>
        <stp/>
        <stp>rtd-mysql</stp>
        <stp>option_day_history_yahoo</stp>
        <stp>AAPL150117P00600000</stp>
        <stp>41694</stp>
        <stp>Bid</stp>
        <tr r="P7" s="8"/>
      </tp>
      <tp>
        <v>1.7</v>
        <stp/>
        <stp>rtd-mysql</stp>
        <stp>fundamentals_yahoo</stp>
        <stp>LNKD</stp>
        <stp>ShortRatio</stp>
        <tr r="O7" s="7"/>
      </tp>
      <tp t="s">
        <v/>
        <stp/>
        <stp>rtd-mysql</stp>
        <stp>quote_day_history_yahoo</stp>
        <stp>FB</stp>
        <stp>41694</stp>
        <stp>RTD_LastMessage</stp>
        <tr r="N5" s="10"/>
      </tp>
      <tp>
        <v>-0.1205</v>
        <stp/>
        <stp>rtd-mysql</stp>
        <stp>fundamentals_yahoo</stp>
        <stp>LNKD</stp>
        <stp>PercentChangeFromMA200</stp>
        <tr r="AB7" s="7"/>
      </tp>
      <tp>
        <v>2.7</v>
        <stp/>
        <stp>rtd-mysql</stp>
        <stp>fundamentals_yahoo</stp>
        <stp>MSFT</stp>
        <stp>EarningsShare</stp>
        <tr r="AJ8" s="7"/>
      </tp>
      <tp t="e">
        <v>#N/A</v>
        <stp/>
        <stp>rtd-mysql</stp>
        <stp>fundamentals_yahoo</stp>
        <stp>MSFT</stp>
        <stp>Notes</stp>
        <tr r="AY8" s="7"/>
      </tp>
      <tp>
        <v>6.76</v>
        <stp/>
        <stp>rtd-mysql</stp>
        <stp>fundamentals_day_history_yahoo</stp>
        <stp>GOOG</stp>
        <stp>41694</stp>
        <stp>PriceSales</stp>
        <tr r="AR6" s="6"/>
      </tp>
      <tp>
        <v>1.7</v>
        <stp/>
        <stp>rtd-mysql</stp>
        <stp>fundamentals_day_history_yahoo</stp>
        <stp>MSFT</stp>
        <stp>41694</stp>
        <stp>ShortRatio</stp>
        <tr r="O8" s="6"/>
      </tp>
      <tp>
        <v>8.2799999999999994</v>
        <stp/>
        <stp>rtd-mysql</stp>
        <stp>fundamentals_day_history_yahoo</stp>
        <stp>YHOO</stp>
        <stp>41694</stp>
        <stp>PriceSales</stp>
        <tr r="AR10" s="6"/>
      </tp>
      <tp>
        <v>38.200000000000003</v>
        <stp/>
        <stp>rtd-mysql</stp>
        <stp>option_day_history_yahoo</stp>
        <stp>AAPL150117P00500000</stp>
        <stp>41694</stp>
        <stp>Ask</stp>
        <tr r="Q6" s="8"/>
      </tp>
      <tp>
        <v>101.45</v>
        <stp/>
        <stp>rtd-mysql</stp>
        <stp>option_day_history_yahoo</stp>
        <stp>AAPL150117P00600000</stp>
        <stp>41694</stp>
        <stp>Ask</stp>
        <tr r="Q7" s="8"/>
      </tp>
      <tp>
        <v>6.6600000000000006E-2</v>
        <stp/>
        <stp>rtd-mysql</stp>
        <stp>fundamentals_day_history_yahoo</stp>
        <stp>MSFT</stp>
        <stp>41694</stp>
        <stp>PercentChangeFromMA200</stp>
        <tr r="AB8" s="6"/>
      </tp>
      <tp t="s">
        <v/>
        <stp/>
        <stp>rtd-mysql</stp>
        <stp>quotes_yahoo</stp>
        <stp>GOOG</stp>
        <stp>RTD_LastMessage</stp>
        <tr r="N6" s="11"/>
        <tr r="N6" s="1"/>
      </tp>
      <tp>
        <v>1.7</v>
        <stp/>
        <stp>rtd-mysql</stp>
        <stp>fundamentals_yahoo</stp>
        <stp>MSFT</stp>
        <stp>ShortRatio</stp>
        <tr r="O8" s="7"/>
      </tp>
      <tp t="e">
        <v>#N/A</v>
        <stp/>
        <stp>rtd-mysql</stp>
        <stp>fundamentals_yahoo</stp>
        <stp>ORCL</stp>
        <stp>Commission</stp>
        <tr r="AX9" s="7"/>
      </tp>
      <tp>
        <v>6.6600000000000006E-2</v>
        <stp/>
        <stp>rtd-mysql</stp>
        <stp>fundamentals_yahoo</stp>
        <stp>MSFT</stp>
        <stp>PercentChangeFromMA200</stp>
        <tr r="AB8" s="7"/>
      </tp>
      <tp t="s">
        <v>AAPL</v>
        <stp/>
        <stp>rtd-mysql</stp>
        <stp>option_day_history_yahoo</stp>
        <stp>AAPL150117C00500000</stp>
        <stp>41694</stp>
        <stp>Symbol</stp>
        <tr r="G4" s="8"/>
      </tp>
      <tp t="s">
        <v>AAPL</v>
        <stp/>
        <stp>rtd-mysql</stp>
        <stp>option_day_history_yahoo</stp>
        <stp>AAPL150117P00500000</stp>
        <stp>41694</stp>
        <stp>Symbol</stp>
        <tr r="G6" s="8"/>
      </tp>
      <tp>
        <v>191.51</v>
        <stp/>
        <stp>rtd-mysql</stp>
        <stp>quote_day_history_yahoo</stp>
        <stp>LNKD</stp>
        <stp>41694</stp>
        <stp>Low</stp>
        <tr r="K7" s="10"/>
      </tp>
      <tp t="s">
        <v/>
        <stp/>
        <stp>rtd-mysql</stp>
        <stp>quotes_yahoo</stp>
        <stp>LNKD</stp>
        <stp>RTD_LastMessage</stp>
        <tr r="N7" s="11"/>
        <tr r="N7" s="1"/>
      </tp>
      <tp>
        <v>38.42</v>
        <stp/>
        <stp>rtd-mysql</stp>
        <stp>fundamentals_yahoo</stp>
        <stp>MSFT</stp>
        <stp>OneYearTargetPrice</stp>
        <tr r="AD8" s="7"/>
      </tp>
      <tp>
        <v>38.159999999999997</v>
        <stp/>
        <stp>rtd-mysql</stp>
        <stp>quotes_yahoo</stp>
        <stp>ORCL</stp>
        <stp>Open</stp>
        <tr r="I9" s="1"/>
        <tr r="I9" s="11"/>
      </tp>
      <tp>
        <v>20.72</v>
        <stp/>
        <stp>rtd-mysql</stp>
        <stp>fundamentals_yahoo</stp>
        <stp>YHOO</stp>
        <stp>PriceEPSEstNextYear</stp>
        <tr r="AT10" s="7"/>
      </tp>
      <tp>
        <v>10.113</v>
        <stp/>
        <stp>rtd-mysql</stp>
        <stp>fundamentals_yahoo</stp>
        <stp>AAPL</stp>
        <stp>ChangeFromMA200</stp>
        <tr r="Z4" s="7"/>
      </tp>
      <tp>
        <v>259.97800000000001</v>
        <stp/>
        <stp>rtd-mysql</stp>
        <stp>fundamentals_day_history_yahoo</stp>
        <stp>GOOG</stp>
        <stp>41694</stp>
        <stp>BookValue</stp>
        <tr r="AP6" s="6"/>
      </tp>
      <tp t="s">
        <v>NasdaqNM</v>
        <stp/>
        <stp>rtd-mysql</stp>
        <stp>fundamentals_yahoo</stp>
        <stp>GOOG</stp>
        <stp>StockExchange</stp>
        <tr r="AW6" s="7"/>
      </tp>
      <tp>
        <v>0</v>
        <stp/>
        <stp>rtd-mysql</stp>
        <stp>fundamentals_yahoo</stp>
        <stp>GOOG</stp>
        <stp>DividendShare</stp>
        <tr r="AM6" s="7"/>
      </tp>
      <tp>
        <v>251.47</v>
        <stp/>
        <stp>rtd-mysql</stp>
        <stp>fundamentals_yahoo</stp>
        <stp>LNKD</stp>
        <stp>OneYearTargetPrice</stp>
        <tr r="AD7" s="7"/>
      </tp>
      <tp>
        <v>21.847999999999999</v>
        <stp/>
        <stp>rtd-mysql</stp>
        <stp>fundamentals_day_history_yahoo</stp>
        <stp>LNKD</stp>
        <stp>41694</stp>
        <stp>BookValue</stp>
        <tr r="AP7" s="6"/>
      </tp>
      <tp>
        <v>0.66666666666666663</v>
        <stp/>
        <stp>rtd-mysql</stp>
        <stp>fundamentals_yahoo</stp>
        <stp>FB</stp>
        <stp>LastTradeTime</stp>
        <tr r="E5" s="7"/>
      </tp>
      <tp>
        <v>41694</v>
        <stp/>
        <stp>rtd-mysql</stp>
        <stp>fundamentals_yahoo</stp>
        <stp>AAPL</stp>
        <stp>LastTradeDate</stp>
        <tr r="D4" s="7"/>
      </tp>
      <tp>
        <v>41694</v>
        <stp/>
        <stp>rtd-mysql</stp>
        <stp>fundamentals_yahoo</stp>
        <stp>ORCL</stp>
        <stp>LastTradeDate</stp>
        <tr r="D9" s="7"/>
      </tp>
      <tp>
        <v>38.42</v>
        <stp/>
        <stp>rtd-mysql</stp>
        <stp>fundamentals_day_history_yahoo</stp>
        <stp>MSFT</stp>
        <stp>41694</stp>
        <stp>OneYearTargetPrice</stp>
        <tr r="AD8" s="6"/>
      </tp>
      <tp>
        <v>0.66666666666666663</v>
        <stp/>
        <stp>rtd-mysql</stp>
        <stp>fundamentals_yahoo</stp>
        <stp>LNKD</stp>
        <stp>LastTradeTime</stp>
        <tr r="E7" s="7"/>
      </tp>
      <tp>
        <v>2.69</v>
        <stp/>
        <stp>rtd-mysql</stp>
        <stp>fundamentals_day_history_yahoo</stp>
        <stp>AAPL</stp>
        <stp>41694</stp>
        <stp>PriceSales</stp>
        <tr r="AR4" s="6"/>
      </tp>
      <tp>
        <v>36.615299999999998</v>
        <stp/>
        <stp>rtd-mysql</stp>
        <stp>fundamentals_yahoo</stp>
        <stp>MSFT</stp>
        <stp>MA50</stp>
        <tr r="W8" s="7"/>
      </tp>
      <tp>
        <v>527.54999999999995</v>
        <stp/>
        <stp>rtd-mysql</stp>
        <stp>quotes_yahoo</stp>
        <stp>AAPL</stp>
        <stp>Last</stp>
        <tr r="F4" s="1"/>
        <tr r="F4" s="11"/>
      </tp>
      <tp>
        <v>38.92</v>
        <stp/>
        <stp>rtd-mysql</stp>
        <stp>fundamentals_yahoo</stp>
        <stp>ORCL</stp>
        <stp>OneYearTargetPrice</stp>
        <tr r="AD9" s="7"/>
      </tp>
      <tp>
        <v>8.2799999999999994</v>
        <stp/>
        <stp>rtd-mysql</stp>
        <stp>fundamentals_yahoo</stp>
        <stp>YHOO</stp>
        <stp>PriceSales</stp>
        <tr r="AR10" s="7"/>
      </tp>
      <tp t="s">
        <v>385.10 - 575.14</v>
        <stp/>
        <stp>rtd-mysql</stp>
        <stp>fundamentals_day_history_yahoo</stp>
        <stp>AAPL</stp>
        <stp>41694</stp>
        <stp>YearRange</stp>
        <tr r="R4" s="6"/>
      </tp>
      <tp>
        <v>2.96</v>
        <stp/>
        <stp>rtd-mysql</stp>
        <stp>fundamentals_day_history_yahoo</stp>
        <stp>YHOO</stp>
        <stp>41694</stp>
        <stp>PriceBook</stp>
        <tr r="AQ10" s="6"/>
      </tp>
      <tp>
        <v>0.66666666666666663</v>
        <stp/>
        <stp>rtd-mysql</stp>
        <stp>fundamentals_yahoo</stp>
        <stp>GOOG</stp>
        <stp>LastTradeTime</stp>
        <tr r="E6" s="7"/>
      </tp>
      <tp>
        <v>41694</v>
        <stp/>
        <stp>rtd-mysql</stp>
        <stp>fundamentals_yahoo</stp>
        <stp>YHOO</stp>
        <stp>LastTradeDate</stp>
        <tr r="D10" s="7"/>
      </tp>
      <tp>
        <v>-7.6E-3</v>
        <stp/>
        <stp>rtd-mysql</stp>
        <stp>fundamentals_yahoo</stp>
        <stp>MSFT</stp>
        <stp>PercentChange</stp>
        <tr r="H8" s="7"/>
      </tp>
      <tp t="s">
        <v/>
        <stp/>
        <stp>rtd-mysql</stp>
        <stp>quotes_yahoo</stp>
        <stp>MSFT</stp>
        <stp>RTD_LastMessage</stp>
        <tr r="N8" s="11"/>
        <tr r="N8" s="1"/>
      </tp>
      <tp>
        <v>0</v>
        <stp/>
        <stp>rtd-mysql</stp>
        <stp>fundamentals_yahoo</stp>
        <stp>FB</stp>
        <stp>DividendShare</stp>
        <tr r="AM5" s="7"/>
      </tp>
      <tp t="s">
        <v>NYSE</v>
        <stp/>
        <stp>rtd-mysql</stp>
        <stp>fundamentals_yahoo</stp>
        <stp>LNKD</stp>
        <stp>StockExchange</stp>
        <tr r="AW7" s="7"/>
      </tp>
      <tp>
        <v>0</v>
        <stp/>
        <stp>rtd-mysql</stp>
        <stp>fundamentals_yahoo</stp>
        <stp>LNKD</stp>
        <stp>DividendShare</stp>
        <tr r="AM7" s="7"/>
      </tp>
      <tp>
        <v>22.22</v>
        <stp/>
        <stp>rtd-mysql</stp>
        <stp>fundamentals_yahoo</stp>
        <stp>FB</stp>
        <stp>PriceSales</stp>
        <tr r="AR5" s="7"/>
      </tp>
      <tp t="s">
        <v>NasdaqNM</v>
        <stp/>
        <stp>rtd-mysql</stp>
        <stp>fundamentals_yahoo</stp>
        <stp>FB</stp>
        <stp>StockExchange</stp>
        <tr r="AW5" s="7"/>
      </tp>
      <tp t="s">
        <v/>
        <stp/>
        <stp>rtd-mysql</stp>
        <stp>quotes_yahoo</stp>
        <stp>ORCL</stp>
        <stp>RTD_LastMessage</stp>
        <tr r="N9" s="1"/>
        <tr r="N9" s="11"/>
      </tp>
      <tp t="s">
        <v>3.932B</v>
        <stp/>
        <stp>rtd-mysql</stp>
        <stp>fundamentals_day_history_yahoo</stp>
        <stp>FB</stp>
        <stp>41694</stp>
        <stp>EBITDA</stp>
        <tr r="AU5" s="6"/>
      </tp>
      <tp>
        <v>8.82</v>
        <stp/>
        <stp>rtd-mysql</stp>
        <stp>fundamentals_day_history_yahoo</stp>
        <stp>LNKD</stp>
        <stp>41694</stp>
        <stp>PriceBook</stp>
        <tr r="AQ7" s="6"/>
      </tp>
      <tp>
        <v>0.67</v>
        <stp/>
        <stp>rtd-mysql</stp>
        <stp>fundamentals_yahoo</stp>
        <stp>FB</stp>
        <stp>ChangeFromYearHigh</stp>
        <tr r="S5" s="7"/>
      </tp>
      <tp t="e">
        <v>#N/A</v>
        <stp/>
        <stp>rtd-mysql</stp>
        <stp>fundamentals_yahoo</stp>
        <stp>GOOG</stp>
        <stp>DividendYield</stp>
        <tr r="AL6" s="7"/>
      </tp>
      <tp>
        <v>38.92</v>
        <stp/>
        <stp>rtd-mysql</stp>
        <stp>fundamentals_day_history_yahoo</stp>
        <stp>ORCL</stp>
        <stp>41694</stp>
        <stp>OneYearTargetPrice</stp>
        <tr r="AD9" s="6"/>
      </tp>
      <tp t="s">
        <v/>
        <stp/>
        <stp>rtd-mysql</stp>
        <stp>fundamentals_day_history_yahoo</stp>
        <stp>LNKD</stp>
        <stp>41694</stp>
        <stp>RTD_LastMessage</stp>
        <tr r="BA7" s="6"/>
      </tp>
      <tp>
        <v>112.26</v>
        <stp/>
        <stp>rtd-mysql</stp>
        <stp>fundamentals_yahoo</stp>
        <stp>FB</stp>
        <stp>PE</stp>
        <tr r="AE5" s="7"/>
      </tp>
      <tp>
        <v>37.558199999999999</v>
        <stp/>
        <stp>rtd-mysql</stp>
        <stp>fundamentals_yahoo</stp>
        <stp>ORCL</stp>
        <stp>MA50</stp>
        <tr r="W9" s="7"/>
      </tp>
      <tp>
        <v>38.429699999999997</v>
        <stp/>
        <stp>rtd-mysql</stp>
        <stp>fundamentals_day_history_yahoo</stp>
        <stp>YHOO</stp>
        <stp>41694</stp>
        <stp>MA50</stp>
        <tr r="W10" s="6"/>
      </tp>
      <tp>
        <v>37.659999999999997</v>
        <stp/>
        <stp>rtd-mysql</stp>
        <stp>quotes_yahoo</stp>
        <stp>MSFT</stp>
        <stp>Open</stp>
        <tr r="I8" s="11"/>
        <tr r="I8" s="1"/>
      </tp>
      <tp>
        <v>-4.3</v>
        <stp/>
        <stp>rtd-mysql</stp>
        <stp>fundamentals_yahoo</stp>
        <stp>YHOO</stp>
        <stp>ChangeFromYearHigh</stp>
        <tr r="S10" s="7"/>
      </tp>
      <tp>
        <v>29.6</v>
        <stp/>
        <stp>rtd-mysql</stp>
        <stp>fundamentals_yahoo</stp>
        <stp>YHOO</stp>
        <stp>PE</stp>
        <tr r="AE10" s="7"/>
      </tp>
      <tp>
        <v>4.63</v>
        <stp/>
        <stp>rtd-mysql</stp>
        <stp>fundamentals_day_history_yahoo</stp>
        <stp>GOOG</stp>
        <stp>41694</stp>
        <stp>PriceBook</stp>
        <tr r="AQ6" s="6"/>
      </tp>
      <tp>
        <v>1.26</v>
        <stp/>
        <stp>rtd-mysql</stp>
        <stp>fundamentals_yahoo</stp>
        <stp>YHOO</stp>
        <stp>EarningsShare</stp>
        <tr r="AJ10" s="7"/>
      </tp>
      <tp t="e">
        <v>#N/A</v>
        <stp/>
        <stp>rtd-mysql</stp>
        <stp>fundamentals_yahoo</stp>
        <stp>YHOO</stp>
        <stp>Notes</stp>
        <tr r="AY10" s="7"/>
      </tp>
      <tp>
        <v>10.3527</v>
        <stp/>
        <stp>rtd-mysql</stp>
        <stp>fundamentals_day_history_yahoo</stp>
        <stp>FB</stp>
        <stp>41694</stp>
        <stp>ChangeFromMA50</stp>
        <tr r="Y5" s="6"/>
      </tp>
      <tp>
        <v>76.739999999999995</v>
        <stp/>
        <stp>rtd-mysql</stp>
        <stp>fundamentals_yahoo</stp>
        <stp>LNKD</stp>
        <stp>PriceEPSEstNextYear</stp>
        <tr r="AT7" s="7"/>
      </tp>
      <tp t="e">
        <v>#N/A</v>
        <stp/>
        <stp>rtd-mysql</stp>
        <stp>fundamentals_yahoo</stp>
        <stp>ORCL</stp>
        <stp>Notes</stp>
        <tr r="AY9" s="7"/>
      </tp>
      <tp>
        <v>-47.59</v>
        <stp/>
        <stp>rtd-mysql</stp>
        <stp>fundamentals_day_history_yahoo</stp>
        <stp>AAPL</stp>
        <stp>41694</stp>
        <stp>ChangeFromYearHigh</stp>
        <tr r="S4" s="6"/>
      </tp>
      <tp>
        <v>2.35</v>
        <stp/>
        <stp>rtd-mysql</stp>
        <stp>fundamentals_yahoo</stp>
        <stp>ORCL</stp>
        <stp>EarningsShare</stp>
        <tr r="AJ9" s="7"/>
      </tp>
      <tp>
        <v>40.232999999999997</v>
        <stp/>
        <stp>rtd-mysql</stp>
        <stp>fundamentals_yahoo</stp>
        <stp>AAPL</stp>
        <stp>EarningsShare</stp>
        <tr r="AJ4" s="7"/>
      </tp>
      <tp t="e">
        <v>#N/A</v>
        <stp/>
        <stp>rtd-mysql</stp>
        <stp>fundamentals_yahoo</stp>
        <stp>AAPL</stp>
        <stp>Notes</stp>
        <tr r="AY4" s="7"/>
      </tp>
      <tp>
        <v>13.06</v>
        <stp/>
        <stp>rtd-mysql</stp>
        <stp>fundamentals_day_history_yahoo</stp>
        <stp>AAPL</stp>
        <stp>41694</stp>
        <stp>PE</stp>
        <tr r="AE4" s="6"/>
      </tp>
      <tp>
        <v>19.66</v>
        <stp/>
        <stp>rtd-mysql</stp>
        <stp>fundamentals_yahoo</stp>
        <stp>GOOG</stp>
        <stp>PriceEPSEstNextYear</stp>
        <tr r="AT6" s="7"/>
      </tp>
      <tp>
        <v>525.25</v>
        <stp/>
        <stp>rtd-mysql</stp>
        <stp>fundamentals_day_history_yahoo</stp>
        <stp>AAPL</stp>
        <stp>41694</stp>
        <stp>PrevClose</stp>
        <tr r="N4" s="6"/>
      </tp>
      <tp>
        <v>12.587</v>
        <stp/>
        <stp>rtd-mysql</stp>
        <stp>fundamentals_day_history_yahoo</stp>
        <stp>YHOO</stp>
        <stp>41694</stp>
        <stp>BookValue</stp>
        <tr r="AP10" s="6"/>
      </tp>
      <tp t="e">
        <v>#N/A</v>
        <stp/>
        <stp>rtd-mysql</stp>
        <stp>fundamentals_yahoo</stp>
        <stp>LNKD</stp>
        <stp>DividendYield</stp>
        <tr r="AL7" s="7"/>
      </tp>
      <tp t="e">
        <v>#N/A</v>
        <stp/>
        <stp>rtd-mysql</stp>
        <stp>fundamentals_yahoo</stp>
        <stp>FB</stp>
        <stp>DividendYield</stp>
        <tr r="AL5" s="7"/>
      </tp>
      <tp t="s">
        <v/>
        <stp/>
        <stp>rtd-mysql</stp>
        <stp>fundamentals_day_history_yahoo</stp>
        <stp>GOOG</stp>
        <stp>41694</stp>
        <stp>RTD_LastMessage</stp>
        <tr r="BA6" s="6"/>
      </tp>
      <tp>
        <v>-1.6199999999999999E-2</v>
        <stp/>
        <stp>rtd-mysql</stp>
        <stp>fundamentals_day_history_yahoo</stp>
        <stp>ORCL</stp>
        <stp>41694</stp>
        <stp>PercentChangeFromYearHigh</stp>
        <tr r="U9" s="6"/>
      </tp>
      <tp>
        <v>191.86</v>
        <stp/>
        <stp>rtd-mysql</stp>
        <stp>quotes_yahoo</stp>
        <stp>LNKD</stp>
        <stp>Open</stp>
        <tr r="I7" s="1"/>
        <tr r="I7" s="11"/>
      </tp>
      <tp>
        <v>192.62</v>
        <stp/>
        <stp>rtd-mysql</stp>
        <stp>fundamentals_day_history_yahoo</stp>
        <stp>LNKD</stp>
        <stp>41694</stp>
        <stp>PrevClose</stp>
        <tr r="N7" s="6"/>
      </tp>
      <tp t="s">
        <v>37.54 - 37.975</v>
        <stp/>
        <stp>rtd-mysql</stp>
        <stp>fundamentals_day_history_yahoo</stp>
        <stp>MSFT</stp>
        <stp>41694</stp>
        <stp>DaysRange</stp>
        <tr r="M8" s="6"/>
      </tp>
      <tp>
        <v>1.1000000000000001</v>
        <stp/>
        <stp>rtd-mysql</stp>
        <stp>fundamentals_day_history_yahoo</stp>
        <stp>AAPL</stp>
        <stp>41694</stp>
        <stp>ShortRatio</stp>
        <tr r="O4" s="6"/>
      </tp>
      <tp>
        <v>0</v>
        <stp/>
        <stp>rtd-mysql</stp>
        <stp>fundamentals_yahoo</stp>
        <stp>YHOO</stp>
        <stp>DividendShare</stp>
        <tr r="AM10" s="7"/>
      </tp>
      <tp>
        <v>374</v>
        <stp/>
        <stp>rtd-mysql</stp>
        <stp>option_day_history_yahoo</stp>
        <stp>AAPL150117C00500000</stp>
        <stp>41694</stp>
        <stp>Volume</stp>
        <tr r="R4" s="8"/>
      </tp>
      <tp t="e">
        <v>#N/A</v>
        <stp/>
        <stp>rtd-mysql</stp>
        <stp>fundamentals_yahoo</stp>
        <stp>FB</stp>
        <stp>Commission</stp>
        <tr r="AX5" s="7"/>
      </tp>
      <tp>
        <v>41.16</v>
        <stp/>
        <stp>rtd-mysql</stp>
        <stp>fundamentals_day_history_yahoo</stp>
        <stp>YHOO</stp>
        <stp>41694</stp>
        <stp>OneYearTargetPrice</stp>
        <tr r="AD10" s="6"/>
      </tp>
      <tp>
        <v>287</v>
        <stp/>
        <stp>rtd-mysql</stp>
        <stp>option_day_history_yahoo</stp>
        <stp>AAPL150117P00500000</stp>
        <stp>41694</stp>
        <stp>Volume</stp>
        <tr r="R6" s="8"/>
      </tp>
      <tp>
        <v>1317.38</v>
        <stp/>
        <stp>rtd-mysql</stp>
        <stp>fundamentals_day_history_yahoo</stp>
        <stp>GOOG</stp>
        <stp>41694</stp>
        <stp>OneYearTargetPrice</stp>
        <tr r="AD6" s="6"/>
      </tp>
      <tp t="s">
        <v>NasdaqNM</v>
        <stp/>
        <stp>rtd-mysql</stp>
        <stp>fundamentals_yahoo</stp>
        <stp>YHOO</stp>
        <stp>StockExchange</stp>
        <tr r="AW10" s="7"/>
      </tp>
      <tp>
        <v>1.95E-2</v>
        <stp/>
        <stp>rtd-mysql</stp>
        <stp>fundamentals_day_history_yahoo</stp>
        <stp>AAPL</stp>
        <stp>41694</stp>
        <stp>PercentChangeFromMA200</stp>
        <tr r="AB4" s="6"/>
      </tp>
      <tp>
        <v>38.429699999999997</v>
        <stp/>
        <stp>rtd-mysql</stp>
        <stp>fundamentals_yahoo</stp>
        <stp>YHOO</stp>
        <stp>MA50</stp>
        <tr r="W10" s="7"/>
      </tp>
      <tp>
        <v>1155.1899000000001</v>
        <stp/>
        <stp>rtd-mysql</stp>
        <stp>fundamentals_yahoo</stp>
        <stp>GOOG</stp>
        <stp>MA50</stp>
        <tr r="W6" s="7"/>
      </tp>
      <tp t="e">
        <v>#N/A</v>
        <stp/>
        <stp>rtd-mysql</stp>
        <stp>fundamentals_yahoo</stp>
        <stp>YHOO</stp>
        <stp>Commission</stp>
        <tr r="AX10" s="7"/>
      </tp>
      <tp>
        <v>-3.3099999999999997E-2</v>
        <stp/>
        <stp>rtd-mysql</stp>
        <stp>fundamentals_day_history_yahoo</stp>
        <stp>MSFT</stp>
        <stp>41694</stp>
        <stp>PercentChangeFromYearHigh</stp>
        <tr r="U8" s="6"/>
      </tp>
      <tp>
        <v>1203.79</v>
        <stp/>
        <stp>rtd-mysql</stp>
        <stp>fundamentals_day_history_yahoo</stp>
        <stp>GOOG</stp>
        <stp>41694</stp>
        <stp>PrevClose</stp>
        <tr r="N6" s="6"/>
      </tp>
      <tp>
        <v>2.8723000000000001</v>
        <stp/>
        <stp>rtd-mysql</stp>
        <stp>fundamentals_yahoo</stp>
        <stp>YHOO</stp>
        <stp>ChangeFromMA200</stp>
        <tr r="Z10" s="7"/>
      </tp>
      <tp t="s">
        <v>38.05 - 38.455</v>
        <stp/>
        <stp>rtd-mysql</stp>
        <stp>fundamentals_day_history_yahoo</stp>
        <stp>ORCL</stp>
        <stp>41694</stp>
        <stp>DaysRange</stp>
        <tr r="M9" s="6"/>
      </tp>
      <tp>
        <v>11.36</v>
        <stp/>
        <stp>rtd-mysql</stp>
        <stp>fundamentals_yahoo</stp>
        <stp>AAPL</stp>
        <stp>PriceEPSEstNextYear</stp>
        <tr r="AT4" s="7"/>
      </tp>
      <tp>
        <v>41694</v>
        <stp/>
        <stp>rtd-mysql</stp>
        <stp>fundamentals_yahoo</stp>
        <stp>LNKD</stp>
        <stp>LastTradeDate</stp>
        <tr r="D7" s="7"/>
      </tp>
      <tp>
        <v>0.66736111111111107</v>
        <stp/>
        <stp>rtd-mysql</stp>
        <stp>fundamentals_yahoo</stp>
        <stp>ORCL</stp>
        <stp>LastTradeTime</stp>
        <tr r="E9" s="7"/>
      </tp>
      <tp>
        <v>41694</v>
        <stp/>
        <stp>rtd-mysql</stp>
        <stp>fundamentals_yahoo</stp>
        <stp>FB</stp>
        <stp>LastTradeDate</stp>
        <tr r="D5" s="7"/>
      </tp>
      <tp>
        <v>0.66666666666666663</v>
        <stp/>
        <stp>rtd-mysql</stp>
        <stp>fundamentals_yahoo</stp>
        <stp>AAPL</stp>
        <stp>LastTradeTime</stp>
        <tr r="E4" s="7"/>
      </tp>
      <tp>
        <v>41695.187141203707</v>
        <stp/>
        <stp>rtd-mysql</stp>
        <stp>fundamentals_yahoo</stp>
        <stp>MSFT</stp>
        <stp>LastUpdateTimeStamp</stp>
        <tr r="AZ8" s="7"/>
      </tp>
      <tp>
        <v>529.91989999999998</v>
        <stp/>
        <stp>rtd-mysql</stp>
        <stp>quotes_yahoo</stp>
        <stp>AAPL</stp>
        <stp>High</stp>
        <tr r="J4" s="11"/>
        <tr r="J4" s="1"/>
      </tp>
      <tp>
        <v>1317.38</v>
        <stp/>
        <stp>rtd-mysql</stp>
        <stp>fundamentals_yahoo</stp>
        <stp>GOOG</stp>
        <stp>OneYearTargetPrice</stp>
        <tr r="AD6" s="7"/>
      </tp>
      <tp t="s">
        <v/>
        <stp/>
        <stp>rtd-mysql</stp>
        <stp>fundamentals_yahoo</stp>
        <stp>FB</stp>
        <stp>RTD_LastMessage</stp>
        <tr r="BA5" s="7"/>
      </tp>
      <tp>
        <v>41694</v>
        <stp/>
        <stp>rtd-mysql</stp>
        <stp>fundamentals_yahoo</stp>
        <stp>GOOG</stp>
        <stp>LastTradeDate</stp>
        <tr r="D6" s="7"/>
      </tp>
      <tp>
        <v>0.6</v>
        <stp/>
        <stp>rtd-mysql</stp>
        <stp>fundamentals_yahoo</stp>
        <stp>FB</stp>
        <stp>ShortRatio</stp>
        <tr r="O5" s="7"/>
      </tp>
      <tp>
        <v>0.66666666666666663</v>
        <stp/>
        <stp>rtd-mysql</stp>
        <stp>fundamentals_yahoo</stp>
        <stp>YHOO</stp>
        <stp>LastTradeTime</stp>
        <tr r="E10" s="7"/>
      </tp>
      <tp t="e">
        <v>#N/A</v>
        <stp/>
        <stp>rtd-mysql</stp>
        <stp>fundamentals_day_history_yahoo</stp>
        <stp>AAPL</stp>
        <stp>41694</stp>
        <stp>Commission</stp>
        <tr r="AX4" s="6"/>
      </tp>
      <tp t="s">
        <v/>
        <stp/>
        <stp>rtd-mysql</stp>
        <stp>fundamentals_day_history_yahoo</stp>
        <stp>FB</stp>
        <stp>41694</stp>
        <stp>RTD_LastMessage</stp>
        <tr r="BA5" s="6"/>
      </tp>
      <tp>
        <v>0.40029999999999999</v>
        <stp/>
        <stp>rtd-mysql</stp>
        <stp>fundamentals_yahoo</stp>
        <stp>FB</stp>
        <stp>PercentChangeFromMA200</stp>
        <tr r="AB5" s="7"/>
      </tp>
      <tp>
        <v>41695.187141203707</v>
        <stp/>
        <stp>rtd-mysql</stp>
        <stp>fundamentals_yahoo</stp>
        <stp>ORCL</stp>
        <stp>LastUpdateTimeStamp</stp>
        <tr r="AZ9" s="7"/>
      </tp>
      <tp>
        <v>1.1000000000000001</v>
        <stp/>
        <stp>rtd-mysql</stp>
        <stp>fundamentals_yahoo</stp>
        <stp>YHOO</stp>
        <stp>ShortRatio</stp>
        <tr r="O10" s="7"/>
      </tp>
      <tp>
        <v>287</v>
        <stp/>
        <stp>rtd-mysql</stp>
        <stp>options_yahoo</stp>
        <stp>AAPL150117P00500000</stp>
        <stp>Volume</stp>
        <tr r="R6" s="9"/>
      </tp>
      <tp>
        <v>374</v>
        <stp/>
        <stp>rtd-mysql</stp>
        <stp>options_yahoo</stp>
        <stp>AAPL150117C00500000</stp>
        <stp>Volume</stp>
        <tr r="R4" s="9"/>
      </tp>
      <tp>
        <v>24</v>
        <stp/>
        <stp>rtd-mysql</stp>
        <stp>options_yahoo</stp>
        <stp>AAPL150117P00600000</stp>
        <stp>Volume</stp>
        <tr r="R7" s="9"/>
      </tp>
      <tp>
        <v>1395</v>
        <stp/>
        <stp>rtd-mysql</stp>
        <stp>options_yahoo</stp>
        <stp>AAPL150117C00600000</stp>
        <stp>Volume</stp>
        <tr r="R5" s="9"/>
      </tp>
      <tp>
        <v>8.3099999999999993E-2</v>
        <stp/>
        <stp>rtd-mysql</stp>
        <stp>fundamentals_yahoo</stp>
        <stp>YHOO</stp>
        <stp>PercentChangeFromMA200</stp>
        <tr r="AB10" s="7"/>
      </tp>
      <tp>
        <v>3.61</v>
        <stp/>
        <stp>rtd-mysql</stp>
        <stp>fundamentals_day_history_yahoo</stp>
        <stp>AAPL</stp>
        <stp>41694</stp>
        <stp>PriceBook</stp>
        <tr r="AQ4" s="6"/>
      </tp>
      <tp t="s">
        <v>20.58 - 41.72</v>
        <stp/>
        <stp>rtd-mysql</stp>
        <stp>fundamentals_day_history_yahoo</stp>
        <stp>YHOO</stp>
        <stp>41694</stp>
        <stp>YearRange</stp>
        <tr r="R10" s="6"/>
      </tp>
      <tp t="s">
        <v>NasdaqNM</v>
        <stp/>
        <stp>rtd-mysql</stp>
        <stp>fundamentals_yahoo</stp>
        <stp>AAPL</stp>
        <stp>StockExchange</stp>
        <tr r="AW4" s="7"/>
      </tp>
      <tp>
        <v>1395</v>
        <stp/>
        <stp>rtd-mysql</stp>
        <stp>option_day_history_yahoo</stp>
        <stp>AAPL150117C00600000</stp>
        <stp>41694</stp>
        <stp>Volume</stp>
        <tr r="R5" s="8"/>
      </tp>
      <tp t="s">
        <v>NYSE</v>
        <stp/>
        <stp>rtd-mysql</stp>
        <stp>fundamentals_yahoo</stp>
        <stp>ORCL</stp>
        <stp>StockExchange</stp>
        <tr r="AW9" s="7"/>
      </tp>
      <tp>
        <v>0.36</v>
        <stp/>
        <stp>rtd-mysql</stp>
        <stp>fundamentals_yahoo</stp>
        <stp>ORCL</stp>
        <stp>DividendShare</stp>
        <tr r="AM9" s="7"/>
      </tp>
      <tp>
        <v>24</v>
        <stp/>
        <stp>rtd-mysql</stp>
        <stp>option_day_history_yahoo</stp>
        <stp>AAPL150117P00600000</stp>
        <stp>41694</stp>
        <stp>Volume</stp>
        <tr r="R7" s="8"/>
      </tp>
      <tp>
        <v>12.2</v>
        <stp/>
        <stp>rtd-mysql</stp>
        <stp>fundamentals_yahoo</stp>
        <stp>AAPL</stp>
        <stp>DividendShare</stp>
        <tr r="AM4" s="7"/>
      </tp>
      <tp>
        <v>37.119999999999997</v>
        <stp/>
        <stp>rtd-mysql</stp>
        <stp>quotes_yahoo</stp>
        <stp>YHOO</stp>
        <stp>Open</stp>
        <tr r="I10" s="1"/>
        <tr r="I10" s="11"/>
      </tp>
      <tp>
        <v>585.32000000000005</v>
        <stp/>
        <stp>rtd-mysql</stp>
        <stp>fundamentals_yahoo</stp>
        <stp>AAPL</stp>
        <stp>OneYearTargetPrice</stp>
        <tr r="AD4" s="7"/>
      </tp>
      <tp>
        <v>1205.25</v>
        <stp/>
        <stp>rtd-mysql</stp>
        <stp>quotes_yahoo</stp>
        <stp>GOOG</stp>
        <stp>Open</stp>
        <tr r="I6" s="1"/>
        <tr r="I6" s="11"/>
      </tp>
      <tp t="s">
        <v>761.26 - 1212.87</v>
        <stp/>
        <stp>rtd-mysql</stp>
        <stp>fundamentals_day_history_yahoo</stp>
        <stp>GOOG</stp>
        <stp>41694</stp>
        <stp>YearRange</stp>
        <tr r="R6" s="6"/>
      </tp>
      <tp t="s">
        <v/>
        <stp/>
        <stp>rtd-mysql</stp>
        <stp>fundamentals_day_history_yahoo</stp>
        <stp>ORCL</stp>
        <stp>41694</stp>
        <stp>RTD_LastMessage</stp>
        <tr r="BA9" s="6"/>
      </tp>
      <tp>
        <v>251.47</v>
        <stp/>
        <stp>rtd-mysql</stp>
        <stp>fundamentals_day_history_yahoo</stp>
        <stp>LNKD</stp>
        <stp>41694</stp>
        <stp>OneYearTargetPrice</stp>
        <tr r="AD7" s="6"/>
      </tp>
      <tp t="s">
        <v/>
        <stp/>
        <stp>rtd-mysql</stp>
        <stp>fundamentals_day_history_yahoo</stp>
        <stp>AAPL</stp>
        <stp>41694</stp>
        <stp>RTD_LastMessage</stp>
        <tr r="BA4" s="6"/>
      </tp>
      <tp t="e">
        <v>#N/A</v>
        <stp/>
        <stp>rtd-mysql</stp>
        <stp>fundamentals_yahoo</stp>
        <stp>YHOO</stp>
        <stp>DividendYield</stp>
        <tr r="AL10" s="7"/>
      </tp>
      <tp>
        <v>209.27</v>
        <stp/>
        <stp>rtd-mysql</stp>
        <stp>fundamentals_yahoo</stp>
        <stp>LNKD</stp>
        <stp>MA50</stp>
        <tr r="W7" s="7"/>
      </tp>
      <tp t="s">
        <v>155.00 - 257.56</v>
        <stp/>
        <stp>rtd-mysql</stp>
        <stp>fundamentals_day_history_yahoo</stp>
        <stp>LNKD</stp>
        <stp>41694</stp>
        <stp>YearRange</stp>
        <tr r="R7" s="6"/>
      </tp>
      <tp t="e">
        <v>#N/A</v>
        <stp/>
        <stp>rtd-mysql</stp>
        <stp>fundamentals_yahoo</stp>
        <stp>GOOG</stp>
        <stp>Notes</stp>
        <tr r="AY6" s="7"/>
      </tp>
      <tp>
        <v>38.021000000000001</v>
        <stp/>
        <stp>rtd-mysql</stp>
        <stp>fundamentals_yahoo</stp>
        <stp>GOOG</stp>
        <stp>EarningsShare</stp>
        <tr r="AJ6" s="7"/>
      </tp>
      <tp>
        <v>59.65</v>
        <stp/>
        <stp>rtd-mysql</stp>
        <stp>option_day_history_yahoo</stp>
        <stp>AAPL150117C00500000</stp>
        <stp>41694</stp>
        <stp>Ask</stp>
        <tr r="Q4" s="8"/>
      </tp>
      <tp>
        <v>21.45</v>
        <stp/>
        <stp>rtd-mysql</stp>
        <stp>option_day_history_yahoo</stp>
        <stp>AAPL150117C00600000</stp>
        <stp>41694</stp>
        <stp>Ask</stp>
        <tr r="Q5" s="8"/>
      </tp>
      <tp>
        <v>2.92</v>
        <stp/>
        <stp>rtd-mysql</stp>
        <stp>fundamentals_day_history_yahoo</stp>
        <stp>ORCL</stp>
        <stp>41694</stp>
        <stp>EPSEstCurrentYear</stp>
        <tr r="AG9" s="6"/>
      </tp>
      <tp>
        <v>145.31299999999999</v>
        <stp/>
        <stp>rtd-mysql</stp>
        <stp>fundamentals_day_history_yahoo</stp>
        <stp>AAPL</stp>
        <stp>41694</stp>
        <stp>BookValue</stp>
        <tr r="AP4" s="6"/>
      </tp>
      <tp>
        <v>37.29</v>
        <stp/>
        <stp>rtd-mysql</stp>
        <stp>fundamentals_day_history_yahoo</stp>
        <stp>YHOO</stp>
        <stp>41694</stp>
        <stp>PrevClose</stp>
        <tr r="N10" s="6"/>
      </tp>
      <tp>
        <v>200.85</v>
        <stp/>
        <stp>rtd-mysql</stp>
        <stp>fundamentals_yahoo</stp>
        <stp>GOOG</stp>
        <stp>ChangeFromMA200</stp>
        <tr r="Z6" s="7"/>
      </tp>
      <tp>
        <v>0.223</v>
        <stp/>
        <stp>rtd-mysql</stp>
        <stp>fundamentals_yahoo</stp>
        <stp>LNKD</stp>
        <stp>EarningsShare</stp>
        <tr r="AJ7" s="7"/>
      </tp>
      <tp t="e">
        <v>#N/A</v>
        <stp/>
        <stp>rtd-mysql</stp>
        <stp>fundamentals_yahoo</stp>
        <stp>LNKD</stp>
        <stp>Notes</stp>
        <tr r="AY7" s="7"/>
      </tp>
      <tp>
        <v>0.61099999999999999</v>
        <stp/>
        <stp>rtd-mysql</stp>
        <stp>fundamentals_yahoo</stp>
        <stp>FB</stp>
        <stp>EarningsShare</stp>
        <tr r="AJ5" s="7"/>
      </tp>
      <tp t="e">
        <v>#N/A</v>
        <stp/>
        <stp>rtd-mysql</stp>
        <stp>fundamentals_yahoo</stp>
        <stp>FB</stp>
        <stp>Notes</stp>
        <tr r="AY5" s="7"/>
      </tp>
      <tp>
        <v>58.8</v>
        <stp/>
        <stp>rtd-mysql</stp>
        <stp>option_day_history_yahoo</stp>
        <stp>AAPL150117C00500000</stp>
        <stp>41694</stp>
        <stp>Bid</stp>
        <tr r="P4" s="8"/>
      </tp>
      <tp>
        <v>21</v>
        <stp/>
        <stp>rtd-mysql</stp>
        <stp>option_day_history_yahoo</stp>
        <stp>AAPL150117C00600000</stp>
        <stp>41694</stp>
        <stp>Bid</stp>
        <tr r="P5" s="8"/>
      </tp>
      <tp>
        <v>2.71</v>
        <stp/>
        <stp>rtd-mysql</stp>
        <stp>fundamentals_day_history_yahoo</stp>
        <stp>MSFT</stp>
        <stp>41694</stp>
        <stp>EPSEstCurrentYear</stp>
        <tr r="AG8" s="6"/>
      </tp>
      <tp>
        <v>-27.350999999999999</v>
        <stp/>
        <stp>rtd-mysql</stp>
        <stp>fundamentals_yahoo</stp>
        <stp>LNKD</stp>
        <stp>ChangeFromMA200</stp>
        <tr r="Z7" s="7"/>
      </tp>
      <tp t="s">
        <v/>
        <stp/>
        <stp>rtd-mysql</stp>
        <stp>fundamentals_day_history_yahoo</stp>
        <stp>YHOO</stp>
        <stp>41694</stp>
        <stp>RTD_LastMessage</stp>
        <tr r="BA10" s="6"/>
      </tp>
      <tp>
        <v>2.3199999999999998</v>
        <stp/>
        <stp>rtd-mysql</stp>
        <stp>fundamentals_yahoo</stp>
        <stp>AAPL</stp>
        <stp>DividendYield</stp>
        <tr r="AL4" s="7"/>
      </tp>
      <tp>
        <v>0.94</v>
        <stp/>
        <stp>rtd-mysql</stp>
        <stp>fundamentals_yahoo</stp>
        <stp>ORCL</stp>
        <stp>DividendYield</stp>
        <tr r="AL9" s="7"/>
      </tp>
      <tp>
        <v>37.54</v>
        <stp/>
        <stp>rtd-mysql</stp>
        <stp>quote_day_history_yahoo</stp>
        <stp>MSFT</stp>
        <stp>41694</stp>
        <stp>Low</stp>
        <tr r="K8" s="10"/>
      </tp>
      <tp>
        <v>0.66666666666666663</v>
        <stp/>
        <stp>rtd-mysql</stp>
        <stp>quote_day_history_yahoo</stp>
        <stp>MSFT</stp>
        <stp>41694</stp>
        <stp>LastTradeTime</stp>
        <tr r="E8" s="10"/>
      </tp>
      <tp>
        <v>76457840</v>
        <stp/>
        <stp>rtd-mysql</stp>
        <stp>quote_day_history_yahoo</stp>
        <stp>FB</stp>
        <stp>41694</stp>
        <stp>Volume</stp>
        <tr r="L5" s="10"/>
      </tp>
      <tp>
        <v>192.62</v>
        <stp/>
        <stp>rtd-mysql</stp>
        <stp>fundamentals_yahoo</stp>
        <stp>LNKD</stp>
        <stp>PrevClose</stp>
        <tr r="N7" s="7"/>
      </tp>
      <tp>
        <v>68.59</v>
        <stp/>
        <stp>rtd-mysql</stp>
        <stp>fundamentals_yahoo</stp>
        <stp>FB</stp>
        <stp>PrevClose</stp>
        <tr r="N5" s="7"/>
      </tp>
      <tp>
        <v>1.26</v>
        <stp/>
        <stp>rtd-mysql</stp>
        <stp>fundamentals_day_history_yahoo</stp>
        <stp>YHOO</stp>
        <stp>41694</stp>
        <stp>EarningsShare</stp>
        <tr r="AJ10" s="6"/>
      </tp>
      <tp t="e">
        <v>#N/A</v>
        <stp/>
        <stp>rtd-mysql</stp>
        <stp>fundamentals_day_history_yahoo</stp>
        <stp>YHOO</stp>
        <stp>41694</stp>
        <stp>Notes</stp>
        <tr r="AY10" s="6"/>
      </tp>
      <tp>
        <v>0.81830000000000003</v>
        <stp/>
        <stp>rtd-mysql</stp>
        <stp>fundamentals_yahoo</stp>
        <stp>YHOO</stp>
        <stp>PercentChangeFromYearLow</stp>
        <tr r="V10" s="7"/>
      </tp>
      <tp>
        <v>37.42</v>
        <stp/>
        <stp>rtd-mysql</stp>
        <stp>quote_day_history_yahoo</stp>
        <stp>YHOO</stp>
        <stp>41694</stp>
        <stp>Last</stp>
        <tr r="F10" s="10"/>
      </tp>
      <tp>
        <v>50.5473</v>
        <stp/>
        <stp>rtd-mysql</stp>
        <stp>fundamentals_day_history_yahoo</stp>
        <stp>FB</stp>
        <stp>41694</stp>
        <stp>MA200</stp>
        <tr r="X5" s="6"/>
      </tp>
      <tp>
        <v>2.3199999999999998</v>
        <stp/>
        <stp>rtd-mysql</stp>
        <stp>fundamentals_day_history_yahoo</stp>
        <stp>AAPL</stp>
        <stp>41694</stp>
        <stp>DividendYield</stp>
        <tr r="AL4" s="6"/>
      </tp>
      <tp>
        <v>0.59279999999999999</v>
        <stp/>
        <stp>rtd-mysql</stp>
        <stp>fundamentals_yahoo</stp>
        <stp>GOOG</stp>
        <stp>PercentChangeFromYearLow</stp>
        <tr r="V6" s="7"/>
      </tp>
      <tp>
        <v>48.11</v>
        <stp/>
        <stp>rtd-mysql</stp>
        <stp>fundamentals_day_history_yahoo</stp>
        <stp>FB</stp>
        <stp>41694</stp>
        <stp>ChangeFromYearLow</stp>
        <tr r="T5" s="6"/>
      </tp>
      <tp t="s">
        <v>Feb 18</v>
        <stp/>
        <stp>rtd-mysql</stp>
        <stp>fundamentals_yahoo</stp>
        <stp>MSFT</stp>
        <stp>ExDividendDate</stp>
        <tr r="AN8" s="7"/>
      </tp>
      <tp t="s">
        <v/>
        <stp/>
        <stp>rtd-mysql</stp>
        <stp>quote_day_history_yahoo</stp>
        <stp>MSFT</stp>
        <stp>41694</stp>
        <stp>RTD_LastMessage</stp>
        <tr r="N8" s="10"/>
      </tp>
      <tp>
        <v>0.66736111111111107</v>
        <stp/>
        <stp>rtd-mysql</stp>
        <stp>quote_day_history_yahoo</stp>
        <stp>ORCL</stp>
        <stp>41694</stp>
        <stp>LastTradeTime</stp>
        <tr r="E9" s="10"/>
      </tp>
      <tp>
        <v>36.82</v>
        <stp/>
        <stp>rtd-mysql</stp>
        <stp>fundamentals_day_history_yahoo</stp>
        <stp>YHOO</stp>
        <stp>41694</stp>
        <stp>Low</stp>
        <tr r="K10" s="6"/>
      </tp>
      <tp>
        <v>71.44</v>
        <stp/>
        <stp>rtd-mysql</stp>
        <stp>fundamentals_yahoo</stp>
        <stp>FB</stp>
        <stp>High</stp>
        <tr r="J5" s="7"/>
      </tp>
      <tp>
        <v>9.6679999999999993</v>
        <stp/>
        <stp>rtd-mysql</stp>
        <stp>fundamentals_yahoo</stp>
        <stp>ORCL</stp>
        <stp>BookValue</stp>
        <tr r="AP9" s="7"/>
      </tp>
      <tp>
        <v>145.31299999999999</v>
        <stp/>
        <stp>rtd-mysql</stp>
        <stp>fundamentals_yahoo</stp>
        <stp>AAPL</stp>
        <stp>BookValue</stp>
        <tr r="AP4" s="7"/>
      </tp>
      <tp>
        <v>4.3788672060923401E-3</v>
        <stp/>
        <stp>rtd-mysql</stp>
        <stp>quote_day_history_yahoo</stp>
        <stp>AAPL</stp>
        <stp>41694</stp>
        <stp>PercentChange</stp>
        <tr r="H4" s="10"/>
      </tp>
      <tp t="s">
        <v>Feb 18</v>
        <stp/>
        <stp>rtd-mysql</stp>
        <stp>fundamentals_day_history_yahoo</stp>
        <stp>MSFT</stp>
        <stp>41694</stp>
        <stp>ExDividendDate</stp>
        <tr r="AN8" s="6"/>
      </tp>
      <tp>
        <v>8.7200000000000006</v>
        <stp/>
        <stp>rtd-mysql</stp>
        <stp>fundamentals_yahoo</stp>
        <stp>GOOG</stp>
        <stp>Change</stp>
        <tr r="G6" s="7"/>
      </tp>
      <tp t="s">
        <v>Internet Information Providers</v>
        <stp/>
        <stp>rtd-mysql</stp>
        <stp>stocks_yahoo</stp>
        <stp>GOOG</stp>
        <stp>Industry</stp>
        <tr r="F6" s="12"/>
      </tp>
      <tp t="s">
        <v>Internet Information Providers</v>
        <stp/>
        <stp>rtd-mysql</stp>
        <stp>stocks_yahoo</stp>
        <stp>YHOO</stp>
        <stp>Industry</stp>
        <tr r="F10" s="12"/>
      </tp>
      <tp t="e">
        <v>#N/A</v>
        <stp/>
        <stp>rtd-mysql</stp>
        <stp>fundamentals_yahoo</stp>
        <stp>LNKD</stp>
        <stp>ExDividendDate</stp>
        <tr r="AN7" s="7"/>
      </tp>
      <tp>
        <v>522.41999999999996</v>
        <stp/>
        <stp>rtd-mysql</stp>
        <stp>fundamentals_day_history_yahoo</stp>
        <stp>AAPL</stp>
        <stp>41694</stp>
        <stp>Low</stp>
        <tr r="K4" s="6"/>
      </tp>
      <tp>
        <v>13.05</v>
        <stp/>
        <stp>rtd-mysql</stp>
        <stp>fundamentals_day_history_yahoo</stp>
        <stp>ORCL</stp>
        <stp>41694</stp>
        <stp>PriceEPSEstCurrentYear</stp>
        <tr r="AS9" s="6"/>
      </tp>
      <tp>
        <v>38.049999999999997</v>
        <stp/>
        <stp>rtd-mysql</stp>
        <stp>fundamentals_day_history_yahoo</stp>
        <stp>ORCL</stp>
        <stp>41694</stp>
        <stp>Low</stp>
        <tr r="K9" s="6"/>
      </tp>
      <tp>
        <v>12.587</v>
        <stp/>
        <stp>rtd-mysql</stp>
        <stp>fundamentals_yahoo</stp>
        <stp>YHOO</stp>
        <stp>BookValue</stp>
        <tr r="AP10" s="7"/>
      </tp>
      <tp t="e">
        <v>#N/A</v>
        <stp/>
        <stp>rtd-mysql</stp>
        <stp>stocks_yahoo</stp>
        <stp>ORCL</stp>
        <stp>CompanyName</stp>
        <tr r="D9" s="12"/>
      </tp>
      <tp t="s">
        <v>Jan  3</v>
        <stp/>
        <stp>rtd-mysql</stp>
        <stp>fundamentals_yahoo</stp>
        <stp>ORCL</stp>
        <stp>ExDividendDate</stp>
        <tr r="AN9" s="7"/>
      </tp>
      <tp>
        <v>41695.187141203707</v>
        <stp/>
        <stp>rtd-mysql</stp>
        <stp>options_yahoo</stp>
        <stp>AAPL150117P00600000</stp>
        <stp>LastUpdateTimeStamp</stp>
        <tr r="T7" s="9"/>
      </tp>
      <tp>
        <v>41695.187141203707</v>
        <stp/>
        <stp>rtd-mysql</stp>
        <stp>options_yahoo</stp>
        <stp>AAPL150117C00600000</stp>
        <stp>LastUpdateTimeStamp</stp>
        <tr r="T5" s="9"/>
      </tp>
      <tp>
        <v>41695.187141203707</v>
        <stp/>
        <stp>rtd-mysql</stp>
        <stp>options_yahoo</stp>
        <stp>AAPL150117P00500000</stp>
        <stp>LastUpdateTimeStamp</stp>
        <tr r="T6" s="9"/>
      </tp>
      <tp>
        <v>41695.187141203707</v>
        <stp/>
        <stp>rtd-mysql</stp>
        <stp>options_yahoo</stp>
        <stp>AAPL150117C00500000</stp>
        <stp>LastUpdateTimeStamp</stp>
        <tr r="T4" s="9"/>
      </tp>
      <tp>
        <v>8.7200000000000006</v>
        <stp/>
        <stp>rtd-mysql</stp>
        <stp>fundamentals_day_history_yahoo</stp>
        <stp>GOOG</stp>
        <stp>41694</stp>
        <stp>Change</stp>
        <tr r="G6" s="6"/>
      </tp>
      <tp>
        <v>1203.79</v>
        <stp/>
        <stp>rtd-mysql</stp>
        <stp>fundamentals_yahoo</stp>
        <stp>GOOG</stp>
        <stp>PrevClose</stp>
        <tr r="N6" s="7"/>
      </tp>
      <tp>
        <v>0.13</v>
        <stp/>
        <stp>rtd-mysql</stp>
        <stp>fundamentals_day_history_yahoo</stp>
        <stp>YHOO</stp>
        <stp>41694</stp>
        <stp>Change</stp>
        <tr r="G10" s="6"/>
      </tp>
      <tp t="e">
        <v>#N/A</v>
        <stp/>
        <stp>rtd-mysql</stp>
        <stp>stocks_yahoo</stp>
        <stp>MSFT</stp>
        <stp>CompanyName</stp>
        <tr r="D8" s="12"/>
      </tp>
      <tp t="s">
        <v>180.5B</v>
        <stp/>
        <stp>rtd-mysql</stp>
        <stp>fundamentals_day_history_yahoo</stp>
        <stp>FB</stp>
        <stp>41694</stp>
        <stp>MarketCap</stp>
        <tr r="AK5" s="6"/>
      </tp>
      <tp>
        <v>71.44</v>
        <stp/>
        <stp>rtd-mysql</stp>
        <stp>quote_day_history_yahoo</stp>
        <stp>FB</stp>
        <stp>41694</stp>
        <stp>High</stp>
        <tr r="J5" s="10"/>
      </tp>
      <tp>
        <v>68.540000000000006</v>
        <stp/>
        <stp>rtd-mysql</stp>
        <stp>fundamentals_day_history_yahoo</stp>
        <stp>FB</stp>
        <stp>41694</stp>
        <stp>Low</stp>
        <tr r="K5" s="6"/>
      </tp>
      <tp>
        <v>3.94</v>
        <stp/>
        <stp>rtd-mysql</stp>
        <stp>fundamentals_yahoo</stp>
        <stp>ORCL</stp>
        <stp>PriceBook</stp>
        <tr r="AQ9" s="7"/>
      </tp>
      <tp t="s">
        <v>Jan  3</v>
        <stp/>
        <stp>rtd-mysql</stp>
        <stp>fundamentals_day_history_yahoo</stp>
        <stp>ORCL</stp>
        <stp>41694</stp>
        <stp>ExDividendDate</stp>
        <tr r="AN9" s="6"/>
      </tp>
      <tp>
        <v>3.61</v>
        <stp/>
        <stp>rtd-mysql</stp>
        <stp>fundamentals_yahoo</stp>
        <stp>AAPL</stp>
        <stp>PriceBook</stp>
        <tr r="AQ4" s="7"/>
      </tp>
      <tp t="s">
        <v>AAPL150117P00600000</v>
        <stp/>
        <stp>rtd-mysql</stp>
        <stp>option_day_history_yahoo</stp>
        <stp>AAPL150117P00600000</stp>
        <stp>41694</stp>
        <stp>OptionCode</stp>
        <tr r="F7" s="8"/>
      </tp>
      <tp t="s">
        <v>AAPL150117C00600000</v>
        <stp/>
        <stp>rtd-mysql</stp>
        <stp>option_day_history_yahoo</stp>
        <stp>AAPL150117C00600000</stp>
        <stp>41694</stp>
        <stp>OptionCode</stp>
        <tr r="F5" s="8"/>
      </tp>
      <tp>
        <v>191.86</v>
        <stp/>
        <stp>rtd-mysql</stp>
        <stp>quote_day_history_yahoo</stp>
        <stp>LNKD</stp>
        <stp>41694</stp>
        <stp>Open</stp>
        <tr r="I7" s="10"/>
      </tp>
      <tp>
        <v>12.2</v>
        <stp/>
        <stp>rtd-mysql</stp>
        <stp>fundamentals_day_history_yahoo</stp>
        <stp>AAPL</stp>
        <stp>41694</stp>
        <stp>DividendShare</stp>
        <tr r="AM4" s="6"/>
      </tp>
      <tp>
        <v>68.540000000000006</v>
        <stp/>
        <stp>rtd-mysql</stp>
        <stp>fundamentals_yahoo</stp>
        <stp>FB</stp>
        <stp>Low</stp>
        <tr r="K5" s="7"/>
      </tp>
      <tp>
        <v>13.05</v>
        <stp/>
        <stp>rtd-mysql</stp>
        <stp>fundamentals_yahoo</stp>
        <stp>ORCL</stp>
        <stp>PriceEPSEstCurrentYear</stp>
        <tr r="AS9" s="7"/>
      </tp>
      <tp>
        <v>0.28770000000000001</v>
        <stp/>
        <stp>rtd-mysql</stp>
        <stp>fundamentals_yahoo</stp>
        <stp>LNKD</stp>
        <stp>PercentChangeFromYearLow</stp>
        <tr r="V7" s="7"/>
      </tp>
      <tp t="s">
        <v>NasdaqNM</v>
        <stp/>
        <stp>rtd-mysql</stp>
        <stp>fundamentals_day_history_yahoo</stp>
        <stp>AAPL</stp>
        <stp>41694</stp>
        <stp>StockExchange</stp>
        <tr r="AW4" s="6"/>
      </tp>
      <tp t="s">
        <v>AAPL150117C00500000</v>
        <stp/>
        <stp>rtd-mysql</stp>
        <stp>options_yahoo</stp>
        <stp>AAPL150117C00500000</stp>
        <stp>OptionCode</stp>
        <tr r="F4" s="9"/>
      </tp>
      <tp t="s">
        <v>AAPL150117P00500000</v>
        <stp/>
        <stp>rtd-mysql</stp>
        <stp>options_yahoo</stp>
        <stp>AAPL150117P00500000</stp>
        <stp>OptionCode</stp>
        <tr r="F6" s="9"/>
      </tp>
      <tp t="s">
        <v>AAPL150117C00600000</v>
        <stp/>
        <stp>rtd-mysql</stp>
        <stp>options_yahoo</stp>
        <stp>AAPL150117C00600000</stp>
        <stp>OptionCode</stp>
        <tr r="F5" s="9"/>
      </tp>
      <tp t="s">
        <v>AAPL150117P00600000</v>
        <stp/>
        <stp>rtd-mysql</stp>
        <stp>options_yahoo</stp>
        <stp>AAPL150117P00600000</stp>
        <stp>OptionCode</stp>
        <tr r="F7" s="9"/>
      </tp>
      <tp>
        <v>15676729</v>
        <stp/>
        <stp>rtd-mysql</stp>
        <stp>fundamentals_yahoo</stp>
        <stp>YHOO</stp>
        <stp>Volume</stp>
        <tr r="L10" s="7"/>
      </tp>
      <tp t="s">
        <v>LinkedIn Corporat</v>
        <stp/>
        <stp>rtd-mysql</stp>
        <stp>fundamentals_day_history_yahoo</stp>
        <stp>LNKD</stp>
        <stp>41694</stp>
        <stp>CompanyName</stp>
        <tr r="AV7" s="6"/>
      </tp>
      <tp t="s">
        <v>22.67 - 70.11</v>
        <stp/>
        <stp>rtd-mysql</stp>
        <stp>fundamentals_yahoo</stp>
        <stp>FB</stp>
        <stp>YearRange</stp>
        <tr r="R5" s="7"/>
      </tp>
      <tp>
        <v>76457640</v>
        <stp/>
        <stp>rtd-mysql</stp>
        <stp>fundamentals_yahoo</stp>
        <stp>FB</stp>
        <stp>Volume</stp>
        <tr r="L5" s="7"/>
      </tp>
      <tp t="s">
        <v>155.00 - 257.56</v>
        <stp/>
        <stp>rtd-mysql</stp>
        <stp>fundamentals_yahoo</stp>
        <stp>LNKD</stp>
        <stp>YearRange</stp>
        <tr r="R7" s="7"/>
      </tp>
      <tp>
        <v>37.659999999999997</v>
        <stp/>
        <stp>rtd-mysql</stp>
        <stp>quote_day_history_yahoo</stp>
        <stp>MSFT</stp>
        <stp>41694</stp>
        <stp>Open</stp>
        <tr r="I8" s="10"/>
      </tp>
      <tp t="s">
        <v>Internet Information Providers</v>
        <stp/>
        <stp>rtd-mysql</stp>
        <stp>stocks_yahoo</stp>
        <stp>LNKD</stp>
        <stp>Industry</stp>
        <tr r="F7" s="12"/>
      </tp>
      <tp t="s">
        <v>Google Inc.</v>
        <stp/>
        <stp>rtd-mysql</stp>
        <stp>fundamentals_day_history_yahoo</stp>
        <stp>GOOG</stp>
        <stp>41694</stp>
        <stp>CompanyName</stp>
        <tr r="AV6" s="6"/>
      </tp>
      <tp>
        <v>1.88</v>
        <stp/>
        <stp>rtd-mysql</stp>
        <stp>fundamentals_day_history_yahoo</stp>
        <stp>MSFT</stp>
        <stp>41694</stp>
        <stp>PEG</stp>
        <tr r="AF8" s="6"/>
      </tp>
      <tp t="s">
        <v>761.26 - 1212.87</v>
        <stp/>
        <stp>rtd-mysql</stp>
        <stp>fundamentals_yahoo</stp>
        <stp>GOOG</stp>
        <stp>YearRange</stp>
        <tr r="R6" s="7"/>
      </tp>
      <tp>
        <v>0.66666666666666663</v>
        <stp/>
        <stp>rtd-mysql</stp>
        <stp>fundamentals_day_history_yahoo</stp>
        <stp>AAPL</stp>
        <stp>41694</stp>
        <stp>LastTradeTime</stp>
        <tr r="E4" s="6"/>
      </tp>
      <tp>
        <v>0.223</v>
        <stp/>
        <stp>rtd-mysql</stp>
        <stp>fundamentals_day_history_yahoo</stp>
        <stp>LNKD</stp>
        <stp>41694</stp>
        <stp>EarningsShare</stp>
        <tr r="AJ7" s="6"/>
      </tp>
      <tp t="e">
        <v>#N/A</v>
        <stp/>
        <stp>rtd-mysql</stp>
        <stp>fundamentals_day_history_yahoo</stp>
        <stp>LNKD</stp>
        <stp>41694</stp>
        <stp>Notes</stp>
        <tr r="AY7" s="6"/>
      </tp>
      <tp>
        <v>14.01</v>
        <stp/>
        <stp>rtd-mysql</stp>
        <stp>fundamentals_yahoo</stp>
        <stp>MSFT</stp>
        <stp>PriceEPSEstCurrentYear</stp>
        <tr r="AS8" s="7"/>
      </tp>
      <tp>
        <v>1E-3</v>
        <stp/>
        <stp>rtd-mysql</stp>
        <stp>fundamentals_day_history_yahoo</stp>
        <stp>ORCL</stp>
        <stp>41694</stp>
        <stp>PercentChange</stp>
        <tr r="H9" s="6"/>
      </tp>
      <tp>
        <v>14.01</v>
        <stp/>
        <stp>rtd-mysql</stp>
        <stp>fundamentals_day_history_yahoo</stp>
        <stp>MSFT</stp>
        <stp>41694</stp>
        <stp>PriceEPSEstCurrentYear</stp>
        <tr r="AS8" s="6"/>
      </tp>
      <tp>
        <v>41694</v>
        <stp/>
        <stp>rtd-mysql</stp>
        <stp>stocks_yahoo</stp>
        <stp>FB</stp>
        <stp>TradeEnd</stp>
        <tr r="I5" s="12"/>
      </tp>
      <tp>
        <v>6.97</v>
        <stp/>
        <stp>rtd-mysql</stp>
        <stp>fundamentals_day_history_yahoo</stp>
        <stp>LNKD</stp>
        <stp>41694</stp>
        <stp>Change</stp>
        <tr r="G7" s="6"/>
      </tp>
      <tp t="s">
        <v>AAPL150117P00500000</v>
        <stp/>
        <stp>rtd-mysql</stp>
        <stp>option_day_history_yahoo</stp>
        <stp>AAPL150117P00500000</stp>
        <stp>41694</stp>
        <stp>OptionCode</stp>
        <tr r="F6" s="8"/>
      </tp>
      <tp>
        <v>2.96</v>
        <stp/>
        <stp>rtd-mysql</stp>
        <stp>fundamentals_yahoo</stp>
        <stp>YHOO</stp>
        <stp>PriceBook</stp>
        <tr r="AQ10" s="7"/>
      </tp>
      <tp>
        <v>10135133</v>
        <stp/>
        <stp>rtd-mysql</stp>
        <stp>fundamentals_day_history_yahoo</stp>
        <stp>AAPL</stp>
        <stp>41694</stp>
        <stp>Volume</stp>
        <tr r="L4" s="6"/>
      </tp>
      <tp t="s">
        <v>AAPL150117C00500000</v>
        <stp/>
        <stp>rtd-mysql</stp>
        <stp>option_day_history_yahoo</stp>
        <stp>AAPL150117C00500000</stp>
        <stp>41694</stp>
        <stp>OptionCode</stp>
        <tr r="F4" s="8"/>
      </tp>
      <tp>
        <v>38.021000000000001</v>
        <stp/>
        <stp>rtd-mysql</stp>
        <stp>fundamentals_day_history_yahoo</stp>
        <stp>GOOG</stp>
        <stp>41694</stp>
        <stp>EarningsShare</stp>
        <tr r="AJ6" s="6"/>
      </tp>
      <tp t="e">
        <v>#N/A</v>
        <stp/>
        <stp>rtd-mysql</stp>
        <stp>fundamentals_day_history_yahoo</stp>
        <stp>GOOG</stp>
        <stp>41694</stp>
        <stp>Notes</stp>
        <tr r="AY6" s="6"/>
      </tp>
      <tp>
        <v>121.91</v>
        <stp/>
        <stp>rtd-mysql</stp>
        <stp>fundamentals_yahoo</stp>
        <stp>LNKD</stp>
        <stp>PriceEPSEstCurrentYear</stp>
        <tr r="AS7" s="7"/>
      </tp>
      <tp>
        <v>38.159999999999997</v>
        <stp/>
        <stp>rtd-mysql</stp>
        <stp>quote_day_history_yahoo</stp>
        <stp>ORCL</stp>
        <stp>41694</stp>
        <stp>Open</stp>
        <tr r="I9" s="10"/>
      </tp>
      <tp>
        <v>-7.6E-3</v>
        <stp/>
        <stp>rtd-mysql</stp>
        <stp>fundamentals_day_history_yahoo</stp>
        <stp>MSFT</stp>
        <stp>41694</stp>
        <stp>PercentChange</stp>
        <tr r="H8" s="6"/>
      </tp>
      <tp>
        <v>2.2999999999999998</v>
        <stp/>
        <stp>rtd-mysql</stp>
        <stp>fundamentals_yahoo</stp>
        <stp>AAPL</stp>
        <stp>Change</stp>
        <tr r="G4" s="7"/>
      </tp>
      <tp>
        <v>3.4861893268972898E-3</v>
        <stp/>
        <stp>rtd-mysql</stp>
        <stp>quote_day_history_yahoo</stp>
        <stp>YHOO</stp>
        <stp>41694</stp>
        <stp>PercentChange</stp>
        <tr r="H10" s="10"/>
      </tp>
      <tp>
        <v>525.25</v>
        <stp/>
        <stp>rtd-mysql</stp>
        <stp>fundamentals_yahoo</stp>
        <stp>AAPL</stp>
        <stp>PrevClose</stp>
        <tr r="N4" s="7"/>
      </tp>
      <tp t="e">
        <v>#N/A</v>
        <stp/>
        <stp>rtd-mysql</stp>
        <stp>fundamentals_day_history_yahoo</stp>
        <stp>YHOO</stp>
        <stp>41694</stp>
        <stp>ExDividendDate</stp>
        <tr r="AN10" s="6"/>
      </tp>
      <tp t="e">
        <v>#N/A</v>
        <stp/>
        <stp>rtd-mysql</stp>
        <stp>fundamentals_day_history_yahoo</stp>
        <stp>GOOG</stp>
        <stp>41694</stp>
        <stp>ExDividendDate</stp>
        <tr r="AN6" s="6"/>
      </tp>
      <tp>
        <v>38.1</v>
        <stp/>
        <stp>rtd-mysql</stp>
        <stp>fundamentals_yahoo</stp>
        <stp>ORCL</stp>
        <stp>PrevClose</stp>
        <tr r="N9" s="7"/>
      </tp>
      <tp>
        <v>37.71</v>
        <stp/>
        <stp>rtd-mysql</stp>
        <stp>quote_day_history_yahoo</stp>
        <stp>YHOO</stp>
        <stp>41694</stp>
        <stp>High</stp>
        <tr r="J10" s="10"/>
      </tp>
      <tp>
        <v>0.66666666666666663</v>
        <stp/>
        <stp>rtd-mysql</stp>
        <stp>fundamentals_day_history_yahoo</stp>
        <stp>GOOG</stp>
        <stp>41694</stp>
        <stp>LastTradeTime</stp>
        <tr r="E6" s="6"/>
      </tp>
      <tp t="s">
        <v>Business Software &amp; Services</v>
        <stp/>
        <stp>rtd-mysql</stp>
        <stp>stocks_yahoo</stp>
        <stp>MSFT</stp>
        <stp>Industry</stp>
        <tr r="F8" s="12"/>
      </tp>
      <tp>
        <v>1205.0999999999999</v>
        <stp/>
        <stp>rtd-mysql</stp>
        <stp>fundamentals_day_history_yahoo</stp>
        <stp>GOOG</stp>
        <stp>41694</stp>
        <stp>Low</stp>
        <tr r="K6" s="6"/>
      </tp>
      <tp>
        <v>6.1040000000000001</v>
        <stp/>
        <stp>rtd-mysql</stp>
        <stp>fundamentals_yahoo</stp>
        <stp>FB</stp>
        <stp>BookValue</stp>
        <tr r="AP5" s="7"/>
      </tp>
      <tp>
        <v>21.847999999999999</v>
        <stp/>
        <stp>rtd-mysql</stp>
        <stp>fundamentals_yahoo</stp>
        <stp>LNKD</stp>
        <stp>BookValue</stp>
        <tr r="AP7" s="7"/>
      </tp>
      <tp>
        <v>70.78</v>
        <stp/>
        <stp>rtd-mysql</stp>
        <stp>fundamentals_yahoo</stp>
        <stp>FB</stp>
        <stp>Last</stp>
        <tr r="F5" s="7"/>
      </tp>
      <tp t="e">
        <v>#N/A</v>
        <stp/>
        <stp>rtd-mysql</stp>
        <stp>fundamentals_day_history_yahoo</stp>
        <stp>YHOO</stp>
        <stp>41694</stp>
        <stp>DividendYield</stp>
        <tr r="AL10" s="6"/>
      </tp>
      <tp>
        <v>0.37909999999999999</v>
        <stp/>
        <stp>rtd-mysql</stp>
        <stp>fundamentals_yahoo</stp>
        <stp>MSFT</stp>
        <stp>PercentChangeFromYearLow</stp>
        <tr r="V8" s="7"/>
      </tp>
      <tp>
        <v>523.04</v>
        <stp/>
        <stp>rtd-mysql</stp>
        <stp>quote_day_history_yahoo</stp>
        <stp>AAPL</stp>
        <stp>41694</stp>
        <stp>Open</stp>
        <tr r="I4" s="10"/>
      </tp>
      <tp t="e">
        <v>#N/A</v>
        <stp/>
        <stp>rtd-mysql</stp>
        <stp>fundamentals_day_history_yahoo</stp>
        <stp>AAPL</stp>
        <stp>41694</stp>
        <stp>Notes</stp>
        <tr r="AY4" s="6"/>
      </tp>
      <tp>
        <v>40.232999999999997</v>
        <stp/>
        <stp>rtd-mysql</stp>
        <stp>fundamentals_day_history_yahoo</stp>
        <stp>AAPL</stp>
        <stp>41694</stp>
        <stp>EarningsShare</stp>
        <tr r="AJ4" s="6"/>
      </tp>
      <tp>
        <v>0.66666666666666663</v>
        <stp/>
        <stp>rtd-mysql</stp>
        <stp>fundamentals_day_history_yahoo</stp>
        <stp>LNKD</stp>
        <stp>41694</stp>
        <stp>LastTradeTime</stp>
        <tr r="E7" s="6"/>
      </tp>
      <tp>
        <v>0.04</v>
        <stp/>
        <stp>rtd-mysql</stp>
        <stp>fundamentals_yahoo</stp>
        <stp>ORCL</stp>
        <stp>Change</stp>
        <tr r="G9" s="7"/>
      </tp>
      <tp>
        <v>121.91</v>
        <stp/>
        <stp>rtd-mysql</stp>
        <stp>fundamentals_day_history_yahoo</stp>
        <stp>LNKD</stp>
        <stp>41694</stp>
        <stp>PriceEPSEstCurrentYear</stp>
        <tr r="AS7" s="6"/>
      </tp>
      <tp>
        <v>2.71</v>
        <stp/>
        <stp>rtd-mysql</stp>
        <stp>fundamentals_yahoo</stp>
        <stp>MSFT</stp>
        <stp>EPSEstCurrentYear</stp>
        <tr r="AG8" s="7"/>
      </tp>
      <tp>
        <v>191.51</v>
        <stp/>
        <stp>rtd-mysql</stp>
        <stp>fundamentals_day_history_yahoo</stp>
        <stp>LNKD</stp>
        <stp>41694</stp>
        <stp>Low</stp>
        <tr r="K7" s="6"/>
      </tp>
      <tp>
        <v>-0.28999999999999998</v>
        <stp/>
        <stp>rtd-mysql</stp>
        <stp>fundamentals_day_history_yahoo</stp>
        <stp>MSFT</stp>
        <stp>41694</stp>
        <stp>Change</stp>
        <tr r="G8" s="6"/>
      </tp>
      <tp>
        <v>259.97800000000001</v>
        <stp/>
        <stp>rtd-mysql</stp>
        <stp>fundamentals_yahoo</stp>
        <stp>GOOG</stp>
        <stp>BookValue</stp>
        <tr r="AP6" s="7"/>
      </tp>
      <tp t="s">
        <v>NasdaqNM</v>
        <stp/>
        <stp>rtd-mysql</stp>
        <stp>fundamentals_day_history_yahoo</stp>
        <stp>GOOG</stp>
        <stp>41694</stp>
        <stp>StockExchange</stp>
        <tr r="AW6" s="6"/>
      </tp>
      <tp>
        <v>12.28</v>
        <stp/>
        <stp>rtd-mysql</stp>
        <stp>fundamentals_yahoo</stp>
        <stp>AAPL</stp>
        <stp>PriceEPSEstCurrentYear</stp>
        <tr r="AS4" s="7"/>
      </tp>
      <tp>
        <v>0.28000000000000003</v>
        <stp/>
        <stp>rtd-mysql</stp>
        <stp>fundamentals_day_history_yahoo</stp>
        <stp>FB</stp>
        <stp>41694</stp>
        <stp>EPSEstNextQuarter</stp>
        <tr r="AH5" s="6"/>
      </tp>
      <tp>
        <v>0</v>
        <stp/>
        <stp>rtd-mysql</stp>
        <stp>fundamentals_day_history_yahoo</stp>
        <stp>GOOG</stp>
        <stp>41694</stp>
        <stp>DividendShare</stp>
        <tr r="AM6" s="6"/>
      </tp>
      <tp>
        <v>6.97</v>
        <stp/>
        <stp>rtd-mysql</stp>
        <stp>fundamentals_yahoo</stp>
        <stp>LNKD</stp>
        <stp>Change</stp>
        <tr r="G7" s="7"/>
      </tp>
      <tp t="s">
        <v>Mar 13</v>
        <stp/>
        <stp>rtd-mysql</stp>
        <stp>fundamentals_yahoo</stp>
        <stp>MSFT</stp>
        <stp>DividendPayDate</stp>
        <tr r="AO8" s="7"/>
      </tp>
      <tp t="e">
        <v>#N/A</v>
        <stp/>
        <stp>rtd-mysql</stp>
        <stp>fundamentals_yahoo</stp>
        <stp>GOOG</stp>
        <stp>ExDividendDate</stp>
        <tr r="AN6" s="7"/>
      </tp>
      <tp t="s">
        <v>Facebook, Inc.</v>
        <stp/>
        <stp>rtd-mysql</stp>
        <stp>fundamentals_day_history_yahoo</stp>
        <stp>FB</stp>
        <stp>41694</stp>
        <stp>CompanyName</stp>
        <tr r="AV5" s="6"/>
      </tp>
      <tp>
        <v>42021</v>
        <stp/>
        <stp>rtd-mysql</stp>
        <stp>option_day_history_yahoo</stp>
        <stp>AAPL150117P00500000</stp>
        <stp>41694</stp>
        <stp>ExpDate</stp>
        <tr r="I6" s="8"/>
      </tp>
      <tp>
        <v>42021</v>
        <stp/>
        <stp>rtd-mysql</stp>
        <stp>option_day_history_yahoo</stp>
        <stp>AAPL150117P00600000</stp>
        <stp>41694</stp>
        <stp>ExpDate</stp>
        <tr r="I7" s="8"/>
      </tp>
      <tp>
        <v>37.29</v>
        <stp/>
        <stp>rtd-mysql</stp>
        <stp>fundamentals_yahoo</stp>
        <stp>YHOO</stp>
        <stp>PrevClose</stp>
        <tr r="N10" s="7"/>
      </tp>
      <tp t="s">
        <v>Facebook, Inc.</v>
        <stp/>
        <stp>rtd-mysql</stp>
        <stp>fundamentals_yahoo</stp>
        <stp>FB</stp>
        <stp>CompanyName</stp>
        <tr r="AV5" s="7"/>
      </tp>
      <tp t="s">
        <v>NYSE</v>
        <stp/>
        <stp>rtd-mysql</stp>
        <stp>fundamentals_day_history_yahoo</stp>
        <stp>LNKD</stp>
        <stp>41694</stp>
        <stp>StockExchange</stp>
        <tr r="AW7" s="6"/>
      </tp>
      <tp>
        <v>0</v>
        <stp/>
        <stp>rtd-mysql</stp>
        <stp>fundamentals_day_history_yahoo</stp>
        <stp>LNKD</stp>
        <stp>41694</stp>
        <stp>DividendShare</stp>
        <tr r="AM7" s="6"/>
      </tp>
      <tp>
        <v>70.78</v>
        <stp/>
        <stp>rtd-mysql</stp>
        <stp>quote_day_history_yahoo</stp>
        <stp>FB</stp>
        <stp>41694</stp>
        <stp>Last</stp>
        <tr r="F5" s="10"/>
      </tp>
      <tp t="s">
        <v>Jan 28</v>
        <stp/>
        <stp>rtd-mysql</stp>
        <stp>fundamentals_yahoo</stp>
        <stp>ORCL</stp>
        <stp>DividendPayDate</stp>
        <tr r="AO9" s="7"/>
      </tp>
      <tp>
        <v>-0.28999999999999998</v>
        <stp/>
        <stp>rtd-mysql</stp>
        <stp>fundamentals_yahoo</stp>
        <stp>MSFT</stp>
        <stp>Change</stp>
        <tr r="G8" s="7"/>
      </tp>
      <tp>
        <v>-3.3099999999999997E-2</v>
        <stp/>
        <stp>rtd-mysql</stp>
        <stp>fundamentals_yahoo</stp>
        <stp>MSFT</stp>
        <stp>PercentChangeFromYearHigh</stp>
        <tr r="U8" s="7"/>
      </tp>
      <tp>
        <v>8.82</v>
        <stp/>
        <stp>rtd-mysql</stp>
        <stp>fundamentals_yahoo</stp>
        <stp>LNKD</stp>
        <stp>PriceBook</stp>
        <tr r="AQ7" s="7"/>
      </tp>
      <tp>
        <v>37.54</v>
        <stp/>
        <stp>rtd-mysql</stp>
        <stp>quotes_yahoo</stp>
        <stp>MSFT</stp>
        <stp>Low</stp>
        <tr r="K8" s="1"/>
        <tr r="K8" s="11"/>
      </tp>
      <tp t="e">
        <v>#N/A</v>
        <stp/>
        <stp>rtd-mysql</stp>
        <stp>fundamentals_day_history_yahoo</stp>
        <stp>LNKD</stp>
        <stp>41694</stp>
        <stp>ExDividendDate</stp>
        <tr r="AN7" s="6"/>
      </tp>
      <tp>
        <v>11.24</v>
        <stp/>
        <stp>rtd-mysql</stp>
        <stp>fundamentals_yahoo</stp>
        <stp>FB</stp>
        <stp>PriceBook</stp>
        <tr r="AQ5" s="7"/>
      </tp>
      <tp>
        <v>23.23</v>
        <stp/>
        <stp>rtd-mysql</stp>
        <stp>fundamentals_yahoo</stp>
        <stp>GOOG</stp>
        <stp>PriceEPSEstCurrentYear</stp>
        <tr r="AS6" s="7"/>
      </tp>
      <tp>
        <v>0.27729999999999999</v>
        <stp/>
        <stp>rtd-mysql</stp>
        <stp>fundamentals_yahoo</stp>
        <stp>ORCL</stp>
        <stp>PercentChangeFromYearLow</stp>
        <tr r="V9" s="7"/>
      </tp>
      <tp t="s">
        <v>Feb  6</v>
        <stp/>
        <stp>rtd-mysql</stp>
        <stp>fundamentals_yahoo</stp>
        <stp>AAPL</stp>
        <stp>ExDividendDate</stp>
        <tr r="AN4" s="7"/>
      </tp>
      <tp t="s">
        <v>Apple Inc.</v>
        <stp/>
        <stp>rtd-mysql</stp>
        <stp>fundamentals_day_history_yahoo</stp>
        <stp>AAPL</stp>
        <stp>41694</stp>
        <stp>CompanyName</stp>
        <tr r="AV4" s="6"/>
      </tp>
      <tp t="s">
        <v>Oracle Corporatio</v>
        <stp/>
        <stp>rtd-mysql</stp>
        <stp>fundamentals_day_history_yahoo</stp>
        <stp>ORCL</stp>
        <stp>41694</stp>
        <stp>CompanyName</stp>
        <tr r="AV9" s="6"/>
      </tp>
      <tp>
        <v>0.81830000000000003</v>
        <stp/>
        <stp>rtd-mysql</stp>
        <stp>fundamentals_day_history_yahoo</stp>
        <stp>YHOO</stp>
        <stp>41694</stp>
        <stp>PercentChangeFromYearLow</stp>
        <tr r="V10" s="6"/>
      </tp>
      <tp>
        <v>38.04</v>
        <stp/>
        <stp>rtd-mysql</stp>
        <stp>quotes_yahoo</stp>
        <stp>ORCL</stp>
        <stp>Low</stp>
        <tr r="K9" s="11"/>
        <tr r="K9" s="1"/>
      </tp>
      <tp t="s">
        <v>385.10 - 575.14</v>
        <stp/>
        <stp>rtd-mysql</stp>
        <stp>fundamentals_yahoo</stp>
        <stp>AAPL</stp>
        <stp>YearRange</stp>
        <tr r="R4" s="7"/>
      </tp>
      <tp t="s">
        <v>29.86 - 38.77</v>
        <stp/>
        <stp>rtd-mysql</stp>
        <stp>fundamentals_yahoo</stp>
        <stp>ORCL</stp>
        <stp>YearRange</stp>
        <tr r="R9" s="7"/>
      </tp>
      <tp t="s">
        <v>37.54 - 37.975</v>
        <stp/>
        <stp>rtd-mysql</stp>
        <stp>fundamentals_yahoo</stp>
        <stp>MSFT</stp>
        <stp>DaysRange</stp>
        <tr r="M8" s="7"/>
      </tp>
      <tp t="s">
        <v>NasdaqNM</v>
        <stp/>
        <stp>rtd-mysql</stp>
        <stp>fundamentals_day_history_yahoo</stp>
        <stp>YHOO</stp>
        <stp>41694</stp>
        <stp>StockExchange</stp>
        <tr r="AW10" s="6"/>
      </tp>
      <tp>
        <v>0</v>
        <stp/>
        <stp>rtd-mysql</stp>
        <stp>fundamentals_day_history_yahoo</stp>
        <stp>YHOO</stp>
        <stp>41694</stp>
        <stp>DividendShare</stp>
        <tr r="AM10" s="6"/>
      </tp>
      <tp t="s">
        <v>Application Software</v>
        <stp/>
        <stp>rtd-mysql</stp>
        <stp>stocks_yahoo</stp>
        <stp>ORCL</stp>
        <stp>Industry</stp>
        <tr r="F9" s="12"/>
      </tp>
      <tp>
        <v>23.6</v>
        <stp/>
        <stp>rtd-mysql</stp>
        <stp>fundamentals_day_history_yahoo</stp>
        <stp>YHOO</stp>
        <stp>41694</stp>
        <stp>PriceEPSEstCurrentYear</stp>
        <tr r="AS10" s="6"/>
      </tp>
      <tp>
        <v>23.23</v>
        <stp/>
        <stp>rtd-mysql</stp>
        <stp>fundamentals_day_history_yahoo</stp>
        <stp>GOOG</stp>
        <stp>41694</stp>
        <stp>PriceEPSEstCurrentYear</stp>
        <tr r="AS6" s="6"/>
      </tp>
      <tp t="s">
        <v>Yahoo Inc.</v>
        <stp/>
        <stp>rtd-mysql</stp>
        <stp>fundamentals_day_history_yahoo</stp>
        <stp>YHOO</stp>
        <stp>41694</stp>
        <stp>CompanyName</stp>
        <tr r="AV10" s="6"/>
      </tp>
      <tp>
        <v>3.6185235178070797E-2</v>
        <stp/>
        <stp>rtd-mysql</stp>
        <stp>quote_day_history_yahoo</stp>
        <stp>LNKD</stp>
        <stp>41694</stp>
        <stp>PercentChange</stp>
        <tr r="H7" s="10"/>
      </tp>
      <tp t="s">
        <v>20.58 - 41.72</v>
        <stp/>
        <stp>rtd-mysql</stp>
        <stp>fundamentals_yahoo</stp>
        <stp>YHOO</stp>
        <stp>YearRange</stp>
        <tr r="R10" s="7"/>
      </tp>
      <tp t="s">
        <v/>
        <stp/>
        <stp>rtd-mysql</stp>
        <stp>option_day_history_yahoo</stp>
        <stp>AAPL150117C00500000</stp>
        <stp>41694</stp>
        <stp>RTD_LastMessage</stp>
        <tr r="U4" s="8"/>
      </tp>
      <tp t="s">
        <v/>
        <stp/>
        <stp>rtd-mysql</stp>
        <stp>option_day_history_yahoo</stp>
        <stp>AAPL150117C00600000</stp>
        <stp>41694</stp>
        <stp>RTD_LastMessage</stp>
        <tr r="U5" s="8"/>
      </tp>
      <tp t="e">
        <v>#N/A</v>
        <stp/>
        <stp>rtd-mysql</stp>
        <stp>fundamentals_day_history_yahoo</stp>
        <stp>GOOG</stp>
        <stp>41694</stp>
        <stp>DividendYield</stp>
        <tr r="AL6" s="6"/>
      </tp>
      <tp>
        <v>63988700</v>
        <stp/>
        <stp>rtd-mysql</stp>
        <stp>fundamentals_day_history_yahoo</stp>
        <stp>FB</stp>
        <stp>41694</stp>
        <stp>AverageDailyVolume</stp>
        <tr r="AC5" s="6"/>
      </tp>
      <tp>
        <v>27.33</v>
        <stp/>
        <stp>rtd-mysql</stp>
        <stp>fundamentals_yahoo</stp>
        <stp>MSFT</stp>
        <stp>YearLow</stp>
        <tr r="Q8" s="7"/>
      </tp>
      <tp>
        <v>7.2437883684031302E-3</v>
        <stp/>
        <stp>rtd-mysql</stp>
        <stp>quote_day_history_yahoo</stp>
        <stp>GOOG</stp>
        <stp>41694</stp>
        <stp>PercentChange</stp>
        <tr r="H6" s="10"/>
      </tp>
      <tp>
        <v>0.04</v>
        <stp/>
        <stp>rtd-mysql</stp>
        <stp>fundamentals_day_history_yahoo</stp>
        <stp>ORCL</stp>
        <stp>41694</stp>
        <stp>Change</stp>
        <tr r="G9" s="6"/>
      </tp>
      <tp>
        <v>4.63</v>
        <stp/>
        <stp>rtd-mysql</stp>
        <stp>fundamentals_yahoo</stp>
        <stp>GOOG</stp>
        <stp>PriceBook</stp>
        <tr r="AQ6" s="7"/>
      </tp>
      <tp>
        <v>1205.25</v>
        <stp/>
        <stp>rtd-mysql</stp>
        <stp>quote_day_history_yahoo</stp>
        <stp>GOOG</stp>
        <stp>41694</stp>
        <stp>Open</stp>
        <tr r="I6" s="10"/>
      </tp>
      <tp t="e">
        <v>#N/A</v>
        <stp/>
        <stp>rtd-mysql</stp>
        <stp>fundamentals_day_history_yahoo</stp>
        <stp>LNKD</stp>
        <stp>41694</stp>
        <stp>DividendYield</stp>
        <tr r="AL7" s="6"/>
      </tp>
      <tp>
        <v>0.66666666666666663</v>
        <stp/>
        <stp>rtd-mysql</stp>
        <stp>fundamentals_day_history_yahoo</stp>
        <stp>YHOO</stp>
        <stp>41694</stp>
        <stp>LastTradeTime</stp>
        <tr r="E10" s="6"/>
      </tp>
      <tp>
        <v>29.86</v>
        <stp/>
        <stp>rtd-mysql</stp>
        <stp>fundamentals_yahoo</stp>
        <stp>ORCL</stp>
        <stp>YearLow</stp>
        <tr r="Q9" s="7"/>
      </tp>
      <tp>
        <v>1205.0999999999999</v>
        <stp/>
        <stp>rtd-mysql</stp>
        <stp>quotes_yahoo</stp>
        <stp>GOOG</stp>
        <stp>Low</stp>
        <tr r="K6" s="1"/>
        <tr r="K6" s="11"/>
      </tp>
      <tp>
        <v>37.979999999999997</v>
        <stp/>
        <stp>rtd-mysql</stp>
        <stp>fundamentals_yahoo</stp>
        <stp>MSFT</stp>
        <stp>PrevClose</stp>
        <tr r="N8" s="7"/>
      </tp>
      <tp>
        <v>68.540000000000006</v>
        <stp/>
        <stp>rtd-mysql</stp>
        <stp>quote_day_history_yahoo</stp>
        <stp>FB</stp>
        <stp>41694</stp>
        <stp>Low</stp>
        <tr r="K5" s="10"/>
      </tp>
      <tp>
        <v>529.91989999999998</v>
        <stp/>
        <stp>rtd-mysql</stp>
        <stp>quote_day_history_yahoo</stp>
        <stp>AAPL</stp>
        <stp>41694</stp>
        <stp>High</stp>
        <tr r="J4" s="10"/>
      </tp>
      <tp>
        <v>31322364</v>
        <stp/>
        <stp>rtd-mysql</stp>
        <stp>fundamentals_yahoo</stp>
        <stp>MSFT</stp>
        <stp>Volume</stp>
        <tr r="L8" s="7"/>
      </tp>
      <tp>
        <v>2.1221999999999999</v>
        <stp/>
        <stp>rtd-mysql</stp>
        <stp>fundamentals_day_history_yahoo</stp>
        <stp>FB</stp>
        <stp>41694</stp>
        <stp>PercentChangeFromYearLow</stp>
        <tr r="V5" s="6"/>
      </tp>
      <tp t="s">
        <v/>
        <stp/>
        <stp>rtd-mysql</stp>
        <stp>quote_day_history_yahoo</stp>
        <stp>LNKD</stp>
        <stp>41694</stp>
        <stp>RTD_LastMessage</stp>
        <tr r="N7" s="10"/>
      </tp>
      <tp>
        <v>12.28</v>
        <stp/>
        <stp>rtd-mysql</stp>
        <stp>fundamentals_day_history_yahoo</stp>
        <stp>AAPL</stp>
        <stp>41694</stp>
        <stp>PriceEPSEstCurrentYear</stp>
        <tr r="AS4" s="6"/>
      </tp>
      <tp>
        <v>41695.187152777777</v>
        <stp/>
        <stp>rtd-mysql</stp>
        <stp>stocks_yahoo</stp>
        <stp>FB</stp>
        <stp>LastUpdateTimeStamp</stp>
        <tr r="J5" s="12"/>
      </tp>
      <tp>
        <v>1.58</v>
        <stp/>
        <stp>rtd-mysql</stp>
        <stp>fundamentals_yahoo</stp>
        <stp>YHOO</stp>
        <stp>EPSEstCurrentYear</stp>
        <tr r="AG10" s="7"/>
      </tp>
      <tp>
        <v>191.51</v>
        <stp/>
        <stp>rtd-mysql</stp>
        <stp>quotes_yahoo</stp>
        <stp>LNKD</stp>
        <stp>Low</stp>
        <tr r="K7" s="1"/>
        <tr r="K7" s="11"/>
      </tp>
      <tp t="e">
        <v>#N/A</v>
        <stp/>
        <stp>rtd-mysql</stp>
        <stp>stocks_yahoo</stp>
        <stp>AAPL</stp>
        <stp>CompanyName</stp>
        <tr r="D4" s="12"/>
      </tp>
      <tp>
        <v>31322364</v>
        <stp/>
        <stp>rtd-mysql</stp>
        <stp>fundamentals_day_history_yahoo</stp>
        <stp>MSFT</stp>
        <stp>41694</stp>
        <stp>Volume</stp>
        <tr r="L8" s="6"/>
      </tp>
      <tp>
        <v>37.119999999999997</v>
        <stp/>
        <stp>rtd-mysql</stp>
        <stp>quote_day_history_yahoo</stp>
        <stp>YHOO</stp>
        <stp>41694</stp>
        <stp>Open</stp>
        <tr r="I10" s="10"/>
      </tp>
      <tp t="e">
        <v>#N/A</v>
        <stp/>
        <stp>rtd-mysql</stp>
        <stp>fundamentals_yahoo</stp>
        <stp>YHOO</stp>
        <stp>DividendPayDate</stp>
        <tr r="AO10" s="7"/>
      </tp>
      <tp>
        <v>2718990</v>
        <stp/>
        <stp>rtd-mysql</stp>
        <stp>fundamentals_yahoo</stp>
        <stp>LNKD</stp>
        <stp>Volume</stp>
        <tr r="L7" s="7"/>
      </tp>
      <tp>
        <v>42.77</v>
        <stp/>
        <stp>rtd-mysql</stp>
        <stp>fundamentals_yahoo</stp>
        <stp>AAPL</stp>
        <stp>EPSEstCurrentYear</stp>
        <tr r="AG4" s="7"/>
      </tp>
      <tp>
        <v>0.66666666666666663</v>
        <stp/>
        <stp>rtd-mysql</stp>
        <stp>quote_day_history_yahoo</stp>
        <stp>AAPL</stp>
        <stp>41694</stp>
        <stp>LastTradeTime</stp>
        <tr r="E4" s="10"/>
      </tp>
      <tp t="s">
        <v/>
        <stp/>
        <stp>rtd-mysql</stp>
        <stp>quote_day_history_yahoo</stp>
        <stp>GOOG</stp>
        <stp>41694</stp>
        <stp>RTD_LastMessage</stp>
        <tr r="N6" s="10"/>
      </tp>
      <tp>
        <v>2.92</v>
        <stp/>
        <stp>rtd-mysql</stp>
        <stp>fundamentals_yahoo</stp>
        <stp>ORCL</stp>
        <stp>EPSEstCurrentYear</stp>
        <tr r="AG9" s="7"/>
      </tp>
      <tp>
        <v>1.0498687664041999E-3</v>
        <stp/>
        <stp>rtd-mysql</stp>
        <stp>quote_day_history_yahoo</stp>
        <stp>ORCL</stp>
        <stp>41694</stp>
        <stp>PercentChange</stp>
        <tr r="H9" s="10"/>
      </tp>
      <tp>
        <v>23.6</v>
        <stp/>
        <stp>rtd-mysql</stp>
        <stp>fundamentals_yahoo</stp>
        <stp>YHOO</stp>
        <stp>PriceEPSEstCurrentYear</stp>
        <tr r="AS10" s="7"/>
      </tp>
      <tp>
        <v>2.69</v>
        <stp/>
        <stp>rtd-mysql</stp>
        <stp>fundamentals_day_history_yahoo</stp>
        <stp>MSFT</stp>
        <stp>41694</stp>
        <stp>DividendYield</stp>
        <tr r="AL8" s="6"/>
      </tp>
      <tp>
        <v>10292762</v>
        <stp/>
        <stp>rtd-mysql</stp>
        <stp>fundamentals_yahoo</stp>
        <stp>ORCL</stp>
        <stp>Volume</stp>
        <tr r="L9" s="7"/>
      </tp>
      <tp>
        <v>761.26</v>
        <stp/>
        <stp>rtd-mysql</stp>
        <stp>fundamentals_yahoo</stp>
        <stp>GOOG</stp>
        <stp>YearLow</stp>
        <tr r="Q6" s="7"/>
      </tp>
      <tp>
        <v>54.87</v>
        <stp/>
        <stp>rtd-mysql</stp>
        <stp>fundamentals_yahoo</stp>
        <stp>FB</stp>
        <stp>PriceEPSEstCurrentYear</stp>
        <tr r="AS5" s="7"/>
      </tp>
      <tp>
        <v>0.59279999999999999</v>
        <stp/>
        <stp>rtd-mysql</stp>
        <stp>fundamentals_day_history_yahoo</stp>
        <stp>GOOG</stp>
        <stp>41694</stp>
        <stp>PercentChangeFromYearLow</stp>
        <tr r="V6" s="6"/>
      </tp>
      <tp>
        <v>-7.63559768299105E-3</v>
        <stp/>
        <stp>rtd-mysql</stp>
        <stp>quote_day_history_yahoo</stp>
        <stp>MSFT</stp>
        <stp>41694</stp>
        <stp>PercentChange</stp>
        <tr r="H8" s="10"/>
      </tp>
      <tp>
        <v>0.94</v>
        <stp/>
        <stp>rtd-mysql</stp>
        <stp>fundamentals_day_history_yahoo</stp>
        <stp>ORCL</stp>
        <stp>41694</stp>
        <stp>DividendYield</stp>
        <tr r="AL9" s="6"/>
      </tp>
      <tp>
        <v>155</v>
        <stp/>
        <stp>rtd-mysql</stp>
        <stp>fundamentals_yahoo</stp>
        <stp>LNKD</stp>
        <stp>YearLow</stp>
        <tr r="Q7" s="7"/>
      </tp>
      <tp>
        <v>-1.6199999999999999E-2</v>
        <stp/>
        <stp>rtd-mysql</stp>
        <stp>fundamentals_yahoo</stp>
        <stp>ORCL</stp>
        <stp>PercentChangeFromYearHigh</stp>
        <tr r="U9" s="7"/>
      </tp>
      <tp>
        <v>-8.2699999999999996E-2</v>
        <stp/>
        <stp>rtd-mysql</stp>
        <stp>fundamentals_yahoo</stp>
        <stp>AAPL</stp>
        <stp>PercentChangeFromYearHigh</stp>
        <tr r="U4" s="7"/>
      </tp>
      <tp>
        <v>10292762</v>
        <stp/>
        <stp>rtd-mysql</stp>
        <stp>fundamentals_day_history_yahoo</stp>
        <stp>ORCL</stp>
        <stp>41694</stp>
        <stp>Volume</stp>
        <tr r="L9" s="6"/>
      </tp>
      <tp>
        <v>37.69</v>
        <stp/>
        <stp>rtd-mysql</stp>
        <stp>quote_day_history_yahoo</stp>
        <stp>MSFT</stp>
        <stp>41694</stp>
        <stp>Last</stp>
        <tr r="F8" s="10"/>
      </tp>
      <tp>
        <v>0.66666666666666663</v>
        <stp/>
        <stp>rtd-mysql</stp>
        <stp>fundamentals_day_history_yahoo</stp>
        <stp>MSFT</stp>
        <stp>41694</stp>
        <stp>LastTradeTime</stp>
        <tr r="E8" s="6"/>
      </tp>
      <tp t="e">
        <v>#N/A</v>
        <stp/>
        <stp>rtd-mysql</stp>
        <stp>fundamentals_yahoo</stp>
        <stp>YHOO</stp>
        <stp>ExDividendDate</stp>
        <tr r="AN10" s="7"/>
      </tp>
      <tp t="s">
        <v>Microsoft Corpora</v>
        <stp/>
        <stp>rtd-mysql</stp>
        <stp>fundamentals_day_history_yahoo</stp>
        <stp>MSFT</stp>
        <stp>41694</stp>
        <stp>CompanyName</stp>
        <tr r="AV8" s="6"/>
      </tp>
      <tp t="e">
        <v>#N/A</v>
        <stp/>
        <stp>rtd-mysql</stp>
        <stp>fundamentals_yahoo</stp>
        <stp>FB</stp>
        <stp>ExDividendDate</stp>
        <tr r="AN5" s="7"/>
      </tp>
      <tp>
        <v>0.36990000000000001</v>
        <stp/>
        <stp>rtd-mysql</stp>
        <stp>fundamentals_day_history_yahoo</stp>
        <stp>AAPL</stp>
        <stp>41694</stp>
        <stp>PercentChangeFromYearLow</stp>
        <tr r="V4" s="6"/>
      </tp>
      <tp>
        <v>1.38</v>
        <stp/>
        <stp>rtd-mysql</stp>
        <stp>fundamentals_day_history_yahoo</stp>
        <stp>GOOG</stp>
        <stp>41694</stp>
        <stp>PEG</stp>
        <tr r="AF6" s="6"/>
      </tp>
      <tp t="s">
        <v>522.42 - 529.9199</v>
        <stp/>
        <stp>rtd-mysql</stp>
        <stp>fundamentals_yahoo</stp>
        <stp>AAPL</stp>
        <stp>DaysRange</stp>
        <tr r="M4" s="7"/>
      </tp>
      <tp t="s">
        <v>38.05 - 38.455</v>
        <stp/>
        <stp>rtd-mysql</stp>
        <stp>fundamentals_yahoo</stp>
        <stp>ORCL</stp>
        <stp>DaysRange</stp>
        <tr r="M9" s="7"/>
      </tp>
      <tp t="s">
        <v>27.33 - 38.98</v>
        <stp/>
        <stp>rtd-mysql</stp>
        <stp>fundamentals_yahoo</stp>
        <stp>MSFT</stp>
        <stp>YearRange</stp>
        <tr r="R8" s="7"/>
      </tp>
      <tp>
        <v>199.59</v>
        <stp/>
        <stp>rtd-mysql</stp>
        <stp>quote_day_history_yahoo</stp>
        <stp>LNKD</stp>
        <stp>41694</stp>
        <stp>Last</stp>
        <tr r="F7" s="10"/>
      </tp>
      <tp>
        <v>0.66736111111111107</v>
        <stp/>
        <stp>rtd-mysql</stp>
        <stp>fundamentals_day_history_yahoo</stp>
        <stp>ORCL</stp>
        <stp>41694</stp>
        <stp>LastTradeTime</stp>
        <tr r="E9" s="6"/>
      </tp>
      <tp>
        <v>20.58</v>
        <stp/>
        <stp>rtd-mysql</stp>
        <stp>fundamentals_yahoo</stp>
        <stp>YHOO</stp>
        <stp>YearLow</stp>
        <tr r="Q10" s="7"/>
      </tp>
      <tp>
        <v>4.4000000000000003E-3</v>
        <stp/>
        <stp>rtd-mysql</stp>
        <stp>fundamentals_day_history_yahoo</stp>
        <stp>AAPL</stp>
        <stp>41694</stp>
        <stp>PercentChange</stp>
        <tr r="H4" s="6"/>
      </tp>
      <tp>
        <v>3.16</v>
        <stp/>
        <stp>rtd-mysql</stp>
        <stp>fundamentals_day_history_yahoo</stp>
        <stp>LNKD</stp>
        <stp>41694</stp>
        <stp>PEG</stp>
        <tr r="AF7" s="6"/>
      </tp>
      <tp t="s">
        <v>36.82 - 37.71</v>
        <stp/>
        <stp>rtd-mysql</stp>
        <stp>fundamentals_yahoo</stp>
        <stp>YHOO</stp>
        <stp>DaysRange</stp>
        <tr r="M10" s="7"/>
      </tp>
      <tp>
        <v>1220.1600000000001</v>
        <stp/>
        <stp>rtd-mysql</stp>
        <stp>quote_day_history_yahoo</stp>
        <stp>GOOG</stp>
        <stp>41694</stp>
        <stp>High</stp>
        <tr r="J6" s="10"/>
      </tp>
      <tp t="s">
        <v>NasdaqNM</v>
        <stp/>
        <stp>rtd-mysql</stp>
        <stp>fundamentals_day_history_yahoo</stp>
        <stp>MSFT</stp>
        <stp>41694</stp>
        <stp>StockExchange</stp>
        <tr r="AW8" s="6"/>
      </tp>
      <tp>
        <v>38.14</v>
        <stp/>
        <stp>rtd-mysql</stp>
        <stp>quote_day_history_yahoo</stp>
        <stp>ORCL</stp>
        <stp>41694</stp>
        <stp>Last</stp>
        <tr r="F9" s="10"/>
      </tp>
      <tp>
        <v>1.02</v>
        <stp/>
        <stp>rtd-mysql</stp>
        <stp>fundamentals_day_history_yahoo</stp>
        <stp>MSFT</stp>
        <stp>41694</stp>
        <stp>DividendShare</stp>
        <tr r="AM8" s="6"/>
      </tp>
      <tp t="e">
        <v>#N/A</v>
        <stp/>
        <stp>rtd-mysql</stp>
        <stp>fundamentals_yahoo</stp>
        <stp>GOOG</stp>
        <stp>DividendPayDate</stp>
        <tr r="AO6" s="7"/>
      </tp>
      <tp>
        <v>-0.1031</v>
        <stp/>
        <stp>rtd-mysql</stp>
        <stp>fundamentals_yahoo</stp>
        <stp>YHOO</stp>
        <stp>PercentChangeFromYearHigh</stp>
        <tr r="U10" s="7"/>
      </tp>
      <tp>
        <v>36.82</v>
        <stp/>
        <stp>rtd-mysql</stp>
        <stp>quotes_yahoo</stp>
        <stp>YHOO</stp>
        <stp>Low</stp>
        <tr r="K10" s="11"/>
        <tr r="K10" s="1"/>
      </tp>
      <tp t="s">
        <v>Feb  6</v>
        <stp/>
        <stp>rtd-mysql</stp>
        <stp>fundamentals_day_history_yahoo</stp>
        <stp>AAPL</stp>
        <stp>41694</stp>
        <stp>ExDividendDate</stp>
        <tr r="AN4" s="6"/>
      </tp>
      <tp t="s">
        <v>NYSE</v>
        <stp/>
        <stp>rtd-mysql</stp>
        <stp>fundamentals_day_history_yahoo</stp>
        <stp>ORCL</stp>
        <stp>41694</stp>
        <stp>StockExchange</stp>
        <tr r="AW9" s="6"/>
      </tp>
      <tp>
        <v>0.36</v>
        <stp/>
        <stp>rtd-mysql</stp>
        <stp>fundamentals_day_history_yahoo</stp>
        <stp>ORCL</stp>
        <stp>41694</stp>
        <stp>DividendShare</stp>
        <tr r="AM9" s="6"/>
      </tp>
      <tp t="e">
        <v>#N/A</v>
        <stp/>
        <stp>rtd-mysql</stp>
        <stp>fundamentals_yahoo</stp>
        <stp>LNKD</stp>
        <stp>DividendPayDate</stp>
        <tr r="AO7" s="7"/>
      </tp>
      <tp>
        <v>42021</v>
        <stp/>
        <stp>rtd-mysql</stp>
        <stp>option_day_history_yahoo</stp>
        <stp>AAPL150117C00500000</stp>
        <stp>41694</stp>
        <stp>ExpDate</stp>
        <tr r="I4" s="8"/>
      </tp>
      <tp>
        <v>42021</v>
        <stp/>
        <stp>rtd-mysql</stp>
        <stp>option_day_history_yahoo</stp>
        <stp>AAPL150117C00600000</stp>
        <stp>41694</stp>
        <stp>ExpDate</stp>
        <tr r="I5" s="8"/>
      </tp>
      <tp>
        <v>0.28770000000000001</v>
        <stp/>
        <stp>rtd-mysql</stp>
        <stp>fundamentals_day_history_yahoo</stp>
        <stp>LNKD</stp>
        <stp>41694</stp>
        <stp>PercentChangeFromYearLow</stp>
        <tr r="V7" s="6"/>
      </tp>
      <tp>
        <v>1.7</v>
        <stp/>
        <stp>rtd-mysql</stp>
        <stp>fundamentals_day_history_yahoo</stp>
        <stp>FB</stp>
        <stp>41694</stp>
        <stp>PEG</stp>
        <tr r="AF5" s="6"/>
      </tp>
      <tp>
        <v>68.75</v>
        <stp/>
        <stp>rtd-mysql</stp>
        <stp>fundamentals_yahoo</stp>
        <stp>FB</stp>
        <stp>Open</stp>
        <tr r="I5" s="7"/>
      </tp>
      <tp>
        <v>15676729</v>
        <stp/>
        <stp>rtd-mysql</stp>
        <stp>fundamentals_day_history_yahoo</stp>
        <stp>YHOO</stp>
        <stp>41694</stp>
        <stp>Volume</stp>
        <tr r="L10" s="6"/>
      </tp>
      <tp t="e">
        <v>#N/A</v>
        <stp/>
        <stp>rtd-mysql</stp>
        <stp>stocks_yahoo</stp>
        <stp>YHOO</stp>
        <stp>CompanyName</stp>
        <tr r="D10" s="12"/>
      </tp>
      <tp>
        <v>1620226</v>
        <stp/>
        <stp>rtd-mysql</stp>
        <stp>fundamentals_day_history_yahoo</stp>
        <stp>GOOG</stp>
        <stp>41694</stp>
        <stp>Volume</stp>
        <tr r="L6" s="6"/>
      </tp>
      <tp>
        <v>527.54999999999995</v>
        <stp/>
        <stp>rtd-mysql</stp>
        <stp>quote_day_history_yahoo</stp>
        <stp>AAPL</stp>
        <stp>41694</stp>
        <stp>Last</stp>
        <tr r="F4" s="10"/>
      </tp>
      <tp>
        <v>1.7</v>
        <stp/>
        <stp>rtd-mysql</stp>
        <stp>fundamentals_yahoo</stp>
        <stp>FB</stp>
        <stp>PEG</stp>
        <tr r="AF5" s="7"/>
      </tp>
      <tp t="s">
        <v>Feb 13</v>
        <stp/>
        <stp>rtd-mysql</stp>
        <stp>fundamentals_yahoo</stp>
        <stp>AAPL</stp>
        <stp>DividendPayDate</stp>
        <tr r="AO4" s="7"/>
      </tp>
      <tp t="s">
        <v/>
        <stp/>
        <stp>rtd-mysql</stp>
        <stp>quote_day_history_yahoo</stp>
        <stp>ORCL</stp>
        <stp>41694</stp>
        <stp>RTD_LastMessage</stp>
        <tr r="N9" s="10"/>
      </tp>
      <tp>
        <v>51.81</v>
        <stp/>
        <stp>rtd-mysql</stp>
        <stp>fundamentals_yahoo</stp>
        <stp>GOOG</stp>
        <stp>EPSEstCurrentYear</stp>
        <tr r="AG6" s="7"/>
      </tp>
      <tp t="s">
        <v/>
        <stp/>
        <stp>rtd-mysql</stp>
        <stp>quote_day_history_yahoo</stp>
        <stp>AAPL</stp>
        <stp>41694</stp>
        <stp>RTD_LastMessage</stp>
        <tr r="N4" s="10"/>
      </tp>
      <tp>
        <v>10.253</v>
        <stp/>
        <stp>rtd-mysql</stp>
        <stp>fundamentals_yahoo</stp>
        <stp>MSFT</stp>
        <stp>BookValue</stp>
        <tr r="AP8" s="7"/>
      </tp>
      <tp>
        <v>0.37909999999999999</v>
        <stp/>
        <stp>rtd-mysql</stp>
        <stp>fundamentals_day_history_yahoo</stp>
        <stp>MSFT</stp>
        <stp>41694</stp>
        <stp>PercentChangeFromYearLow</stp>
        <tr r="V8" s="6"/>
      </tp>
      <tp>
        <v>1.58</v>
        <stp/>
        <stp>rtd-mysql</stp>
        <stp>fundamentals_yahoo</stp>
        <stp>LNKD</stp>
        <stp>EPSEstCurrentYear</stp>
        <tr r="AG7" s="7"/>
      </tp>
      <tp>
        <v>37.54</v>
        <stp/>
        <stp>rtd-mysql</stp>
        <stp>fundamentals_day_history_yahoo</stp>
        <stp>MSFT</stp>
        <stp>41694</stp>
        <stp>Low</stp>
        <tr r="K8" s="6"/>
      </tp>
      <tp t="s">
        <v/>
        <stp/>
        <stp>rtd-mysql</stp>
        <stp>quote_day_history_yahoo</stp>
        <stp>YHOO</stp>
        <stp>41694</stp>
        <stp>RTD_LastMessage</stp>
        <tr r="N10" s="10"/>
      </tp>
      <tp>
        <v>1.25</v>
        <stp/>
        <stp>rtd-mysql</stp>
        <stp>fundamentals_yahoo</stp>
        <stp>FB</stp>
        <stp>EPSEstCurrentYear</stp>
        <tr r="AG5" s="7"/>
      </tp>
      <tp>
        <v>2.35</v>
        <stp/>
        <stp>rtd-mysql</stp>
        <stp>fundamentals_day_history_yahoo</stp>
        <stp>ORCL</stp>
        <stp>41694</stp>
        <stp>EarningsShare</stp>
        <tr r="AJ9" s="6"/>
      </tp>
      <tp t="e">
        <v>#N/A</v>
        <stp/>
        <stp>rtd-mysql</stp>
        <stp>fundamentals_day_history_yahoo</stp>
        <stp>ORCL</stp>
        <stp>41694</stp>
        <stp>Notes</stp>
        <tr r="AY9" s="6"/>
      </tp>
      <tp>
        <v>3.6200000000000003E-2</v>
        <stp/>
        <stp>rtd-mysql</stp>
        <stp>fundamentals_day_history_yahoo</stp>
        <stp>LNKD</stp>
        <stp>41694</stp>
        <stp>PercentChange</stp>
        <tr r="H7" s="6"/>
      </tp>
      <tp>
        <v>68.75</v>
        <stp/>
        <stp>rtd-mysql</stp>
        <stp>quote_day_history_yahoo</stp>
        <stp>FB</stp>
        <stp>41694</stp>
        <stp>Open</stp>
        <tr r="I5" s="10"/>
      </tp>
      <tp>
        <v>1620226</v>
        <stp/>
        <stp>rtd-mysql</stp>
        <stp>fundamentals_yahoo</stp>
        <stp>GOOG</stp>
        <stp>Volume</stp>
        <tr r="L6" s="7"/>
      </tp>
      <tp>
        <v>0.66666666666666663</v>
        <stp/>
        <stp>rtd-mysql</stp>
        <stp>quote_day_history_yahoo</stp>
        <stp>YHOO</stp>
        <stp>41694</stp>
        <stp>LastTradeTime</stp>
        <tr r="E10" s="10"/>
      </tp>
      <tp>
        <v>2.19</v>
        <stp/>
        <stp>rtd-mysql</stp>
        <stp>quote_day_history_yahoo</stp>
        <stp>FB</stp>
        <stp>41694</stp>
        <stp>Change</stp>
        <tr r="G5" s="10"/>
      </tp>
      <tp>
        <v>0.27729999999999999</v>
        <stp/>
        <stp>rtd-mysql</stp>
        <stp>fundamentals_day_history_yahoo</stp>
        <stp>ORCL</stp>
        <stp>41694</stp>
        <stp>PercentChangeFromYearLow</stp>
        <tr r="V9" s="6"/>
      </tp>
      <tp>
        <v>2.7</v>
        <stp/>
        <stp>rtd-mysql</stp>
        <stp>fundamentals_day_history_yahoo</stp>
        <stp>MSFT</stp>
        <stp>41694</stp>
        <stp>EarningsShare</stp>
        <tr r="AJ8" s="6"/>
      </tp>
      <tp t="e">
        <v>#N/A</v>
        <stp/>
        <stp>rtd-mysql</stp>
        <stp>fundamentals_day_history_yahoo</stp>
        <stp>MSFT</stp>
        <stp>41694</stp>
        <stp>Notes</stp>
        <tr r="AY8" s="6"/>
      </tp>
      <tp>
        <v>7.1999999999999998E-3</v>
        <stp/>
        <stp>rtd-mysql</stp>
        <stp>fundamentals_day_history_yahoo</stp>
        <stp>GOOG</stp>
        <stp>41694</stp>
        <stp>PercentChange</stp>
        <tr r="H6" s="6"/>
      </tp>
      <tp>
        <v>9.5999999999999992E-3</v>
        <stp/>
        <stp>rtd-mysql</stp>
        <stp>fundamentals_yahoo</stp>
        <stp>FB</stp>
        <stp>PercentChangeFromYearHigh</stp>
        <tr r="U5" s="7"/>
      </tp>
      <tp>
        <v>-0.22509999999999999</v>
        <stp/>
        <stp>rtd-mysql</stp>
        <stp>fundamentals_yahoo</stp>
        <stp>LNKD</stp>
        <stp>PercentChangeFromYearHigh</stp>
        <tr r="U7" s="7"/>
      </tp>
      <tp>
        <v>0.66666666666666663</v>
        <stp/>
        <stp>rtd-mysql</stp>
        <stp>quote_day_history_yahoo</stp>
        <stp>GOOG</stp>
        <stp>41694</stp>
        <stp>LastTradeTime</stp>
        <tr r="E6" s="10"/>
      </tp>
      <tp>
        <v>3.7</v>
        <stp/>
        <stp>rtd-mysql</stp>
        <stp>fundamentals_yahoo</stp>
        <stp>MSFT</stp>
        <stp>PriceBook</stp>
        <tr r="AQ8" s="7"/>
      </tp>
      <tp>
        <v>2.2999999999999998</v>
        <stp/>
        <stp>rtd-mysql</stp>
        <stp>fundamentals_day_history_yahoo</stp>
        <stp>AAPL</stp>
        <stp>41694</stp>
        <stp>Change</stp>
        <tr r="G4" s="6"/>
      </tp>
      <tp>
        <v>2718990</v>
        <stp/>
        <stp>rtd-mysql</stp>
        <stp>fundamentals_day_history_yahoo</stp>
        <stp>LNKD</stp>
        <stp>41694</stp>
        <stp>Volume</stp>
        <tr r="L7" s="6"/>
      </tp>
      <tp>
        <v>37.975000000000001</v>
        <stp/>
        <stp>rtd-mysql</stp>
        <stp>quote_day_history_yahoo</stp>
        <stp>MSFT</stp>
        <stp>41694</stp>
        <stp>High</stp>
        <tr r="J8" s="10"/>
      </tp>
      <tp>
        <v>3.5000000000000001E-3</v>
        <stp/>
        <stp>rtd-mysql</stp>
        <stp>fundamentals_day_history_yahoo</stp>
        <stp>YHOO</stp>
        <stp>41694</stp>
        <stp>PercentChange</stp>
        <tr r="H10" s="6"/>
      </tp>
      <tp>
        <v>385.1</v>
        <stp/>
        <stp>rtd-mysql</stp>
        <stp>fundamentals_yahoo</stp>
        <stp>AAPL</stp>
        <stp>YearLow</stp>
        <tr r="Q4" s="7"/>
      </tp>
      <tp>
        <v>10135133</v>
        <stp/>
        <stp>rtd-mysql</stp>
        <stp>fundamentals_yahoo</stp>
        <stp>AAPL</stp>
        <stp>Volume</stp>
        <tr r="L4" s="7"/>
      </tp>
      <tp>
        <v>41695.187152777777</v>
        <stp/>
        <stp>rtd-mysql</stp>
        <stp>quotes_yahoo</stp>
        <stp>FB</stp>
        <stp>LastUpdateTimeStamp</stp>
        <tr r="M5" s="1"/>
        <tr r="M5" s="11"/>
      </tp>
      <tp>
        <v>0.66666666666666663</v>
        <stp/>
        <stp>rtd-mysql</stp>
        <stp>quote_day_history_yahoo</stp>
        <stp>LNKD</stp>
        <stp>41694</stp>
        <stp>LastTradeTime</stp>
        <tr r="E7" s="10"/>
      </tp>
      <tp t="s">
        <v>68.54 - 71.44</v>
        <stp/>
        <stp>rtd-mysql</stp>
        <stp>fundamentals_yahoo</stp>
        <stp>FB</stp>
        <stp>DaysRange</stp>
        <tr r="M5" s="7"/>
      </tp>
      <tp>
        <v>3.3</v>
        <stp/>
        <stp>rtd-mysql</stp>
        <stp>fundamentals_day_history_yahoo</stp>
        <stp>YHOO</stp>
        <stp>41694</stp>
        <stp>PEG</stp>
        <tr r="AF10" s="6"/>
      </tp>
      <tp t="s">
        <v/>
        <stp/>
        <stp>rtd-mysql</stp>
        <stp>option_day_history_yahoo</stp>
        <stp>AAPL150117P00500000</stp>
        <stp>41694</stp>
        <stp>RTD_LastMessage</stp>
        <tr r="U6" s="8"/>
      </tp>
      <tp t="s">
        <v/>
        <stp/>
        <stp>rtd-mysql</stp>
        <stp>option_day_history_yahoo</stp>
        <stp>AAPL150117P00600000</stp>
        <stp>41694</stp>
        <stp>RTD_LastMessage</stp>
        <tr r="U7" s="8"/>
      </tp>
      <tp t="s">
        <v>191.51 - 199.88</v>
        <stp/>
        <stp>rtd-mysql</stp>
        <stp>fundamentals_yahoo</stp>
        <stp>LNKD</stp>
        <stp>DaysRange</stp>
        <tr r="M7" s="7"/>
      </tp>
      <tp>
        <v>199.88</v>
        <stp/>
        <stp>rtd-mysql</stp>
        <stp>quote_day_history_yahoo</stp>
        <stp>LNKD</stp>
        <stp>41694</stp>
        <stp>High</stp>
        <tr r="J7" s="10"/>
      </tp>
      <tp>
        <v>1.24</v>
        <stp/>
        <stp>rtd-mysql</stp>
        <stp>fundamentals_day_history_yahoo</stp>
        <stp>ORCL</stp>
        <stp>41694</stp>
        <stp>PEG</stp>
        <tr r="AF9" s="6"/>
      </tp>
      <tp>
        <v>0.63</v>
        <stp/>
        <stp>rtd-mysql</stp>
        <stp>fundamentals_day_history_yahoo</stp>
        <stp>AAPL</stp>
        <stp>41694</stp>
        <stp>PEG</stp>
        <tr r="AF4" s="6"/>
      </tp>
      <tp>
        <v>2.19</v>
        <stp/>
        <stp>rtd-mysql</stp>
        <stp>fundamentals_yahoo</stp>
        <stp>FB</stp>
        <stp>Change</stp>
        <tr r="G5" s="7"/>
      </tp>
      <tp t="e">
        <v>#N/A</v>
        <stp/>
        <stp>rtd-mysql</stp>
        <stp>stocks_yahoo</stp>
        <stp>LNKD</stp>
        <stp>CompanyName</stp>
        <tr r="D7" s="12"/>
      </tp>
      <tp t="s">
        <v>1205.10 - 1220.16</v>
        <stp/>
        <stp>rtd-mysql</stp>
        <stp>fundamentals_yahoo</stp>
        <stp>GOOG</stp>
        <stp>DaysRange</stp>
        <tr r="M6" s="7"/>
      </tp>
      <tp>
        <v>522.41999999999996</v>
        <stp/>
        <stp>rtd-mysql</stp>
        <stp>quotes_yahoo</stp>
        <stp>AAPL</stp>
        <stp>Low</stp>
        <tr r="K4" s="1"/>
        <tr r="K4" s="11"/>
      </tp>
      <tp>
        <v>1212.51</v>
        <stp/>
        <stp>rtd-mysql</stp>
        <stp>quote_day_history_yahoo</stp>
        <stp>GOOG</stp>
        <stp>41694</stp>
        <stp>Last</stp>
        <tr r="F6" s="10"/>
      </tp>
      <tp>
        <v>38.454999999999998</v>
        <stp/>
        <stp>rtd-mysql</stp>
        <stp>quote_day_history_yahoo</stp>
        <stp>ORCL</stp>
        <stp>41694</stp>
        <stp>High</stp>
        <tr r="J9" s="10"/>
      </tp>
      <tp t="s">
        <v>Electronic Equipment</v>
        <stp/>
        <stp>rtd-mysql</stp>
        <stp>stocks_yahoo</stp>
        <stp>AAPL</stp>
        <stp>Industry</stp>
        <tr r="F4" s="12"/>
      </tp>
      <tp>
        <v>-2.9999999999999997E-4</v>
        <stp/>
        <stp>rtd-mysql</stp>
        <stp>fundamentals_yahoo</stp>
        <stp>GOOG</stp>
        <stp>PercentChangeFromYearHigh</stp>
        <tr r="U6" s="7"/>
      </tp>
      <tp t="e">
        <v>#N/A</v>
        <stp/>
        <stp>rtd-mysql</stp>
        <stp>stocks_yahoo</stp>
        <stp>GOOG</stp>
        <stp>CompanyName</stp>
        <tr r="D6" s="12"/>
      </tp>
      <tp>
        <v>0.36990000000000001</v>
        <stp/>
        <stp>rtd-mysql</stp>
        <stp>fundamentals_yahoo</stp>
        <stp>AAPL</stp>
        <stp>PercentChangeFromYearLow</stp>
        <tr r="V4" s="7"/>
      </tp>
      <tp>
        <v>0.13</v>
        <stp/>
        <stp>rtd-mysql</stp>
        <stp>fundamentals_yahoo</stp>
        <stp>YHOO</stp>
        <stp>Change</stp>
        <tr r="G10" s="7"/>
      </tp>
      <tp>
        <v>100.15</v>
        <stp/>
        <stp>rtd-mysql</stp>
        <stp>options_yahoo</stp>
        <stp>AAPL150117P00600000</stp>
        <stp>Bid</stp>
        <tr r="P7" s="9"/>
      </tp>
      <tp>
        <v>21</v>
        <stp/>
        <stp>rtd-mysql</stp>
        <stp>options_yahoo</stp>
        <stp>AAPL150117C00600000</stp>
        <stp>Bid</stp>
        <tr r="P5" s="9"/>
      </tp>
      <tp>
        <v>38.1</v>
        <stp/>
        <stp>rtd-mysql</stp>
        <stp>options_yahoo</stp>
        <stp>AAPL150117P00500000</stp>
        <stp>Bid</stp>
        <tr r="P6" s="9"/>
      </tp>
      <tp>
        <v>58.8</v>
        <stp/>
        <stp>rtd-mysql</stp>
        <stp>options_yahoo</stp>
        <stp>AAPL150117C00500000</stp>
        <stp>Bid</stp>
        <tr r="P4" s="9"/>
      </tp>
      <tp>
        <v>1.8</v>
        <stp/>
        <stp>rtd-mysql</stp>
        <stp>fundamentals_day_history_yahoo</stp>
        <stp>YHOO</stp>
        <stp>41694</stp>
        <stp>EPSEstNextYear</stp>
        <tr r="AI10" s="6"/>
      </tp>
      <tp>
        <v>61.24</v>
        <stp/>
        <stp>rtd-mysql</stp>
        <stp>fundamentals_day_history_yahoo</stp>
        <stp>GOOG</stp>
        <stp>41694</stp>
        <stp>EPSEstNextYear</stp>
        <tr r="AI6" s="6"/>
      </tp>
      <tp>
        <v>41695.187152777777</v>
        <stp/>
        <stp>rtd-mysql</stp>
        <stp>stocks_yahoo</stp>
        <stp>ORCL</stp>
        <stp>LastUpdateTimeStamp</stp>
        <tr r="J9" s="12"/>
      </tp>
      <tp>
        <v>575.14</v>
        <stp/>
        <stp>rtd-mysql</stp>
        <stp>fundamentals_day_history_yahoo</stp>
        <stp>AAPL</stp>
        <stp>41694</stp>
        <stp>YearHigh</stp>
        <tr r="P4" s="6"/>
      </tp>
      <tp>
        <v>41695.187152777777</v>
        <stp/>
        <stp>rtd-mysql</stp>
        <stp>quotes_yahoo</stp>
        <stp>ORCL</stp>
        <stp>LastUpdateTimeStamp</stp>
        <tr r="M9" s="11"/>
        <tr r="M9" s="1"/>
      </tp>
      <tp>
        <v>35167</v>
        <stp/>
        <stp>rtd-mysql</stp>
        <stp>stocks_yahoo</stp>
        <stp>YHOO</stp>
        <stp>TradeStart</stp>
        <tr r="H10" s="12"/>
      </tp>
      <tp>
        <v>41694</v>
        <stp/>
        <stp>rtd-mysql</stp>
        <stp>stocks_yahoo</stp>
        <stp>ORCL</stp>
        <stp>TradeEnd</stp>
        <tr r="I9" s="12"/>
      </tp>
      <tp>
        <v>41695.187152777777</v>
        <stp/>
        <stp>rtd-mysql</stp>
        <stp>stocks_yahoo</stp>
        <stp>MSFT</stp>
        <stp>LastUpdateTimeStamp</stp>
        <tr r="J8" s="12"/>
      </tp>
      <tp>
        <v>41695.187152777777</v>
        <stp/>
        <stp>rtd-mysql</stp>
        <stp>quotes_yahoo</stp>
        <stp>MSFT</stp>
        <stp>LastUpdateTimeStamp</stp>
        <tr r="M8" s="11"/>
        <tr r="M8" s="1"/>
      </tp>
      <tp>
        <v>0.67</v>
        <stp/>
        <stp>rtd-mysql</stp>
        <stp>fundamentals_yahoo</stp>
        <stp>MSFT</stp>
        <stp>EPSEstNextQuarter</stp>
        <tr r="AH8" s="7"/>
      </tp>
      <tp>
        <v>1.25</v>
        <stp/>
        <stp>rtd-mysql</stp>
        <stp>fundamentals_day_history_yahoo</stp>
        <stp>FB</stp>
        <stp>41694</stp>
        <stp>EPSEstCurrentYear</stp>
        <tr r="AG5" s="6"/>
      </tp>
      <tp>
        <v>61.24</v>
        <stp/>
        <stp>rtd-mysql</stp>
        <stp>fundamentals_yahoo</stp>
        <stp>GOOG</stp>
        <stp>EPSEstNextYear</stp>
        <tr r="AI6" s="7"/>
      </tp>
      <tp>
        <v>41694</v>
        <stp/>
        <stp>rtd-mysql</stp>
        <stp>quotes_yahoo</stp>
        <stp>FB</stp>
        <stp>LastTradeDate</stp>
        <tr r="D5" s="1"/>
        <tr r="D5" s="11"/>
      </tp>
      <tp>
        <v>38.200000000000003</v>
        <stp/>
        <stp>rtd-mysql</stp>
        <stp>options_yahoo</stp>
        <stp>AAPL150117P00500000</stp>
        <stp>Ask</stp>
        <tr r="Q6" s="9"/>
      </tp>
      <tp>
        <v>59.65</v>
        <stp/>
        <stp>rtd-mysql</stp>
        <stp>options_yahoo</stp>
        <stp>AAPL150117C00500000</stp>
        <stp>Ask</stp>
        <tr r="Q4" s="9"/>
      </tp>
      <tp>
        <v>101.45</v>
        <stp/>
        <stp>rtd-mysql</stp>
        <stp>options_yahoo</stp>
        <stp>AAPL150117P00600000</stp>
        <stp>Ask</stp>
        <tr r="Q7" s="9"/>
      </tp>
      <tp>
        <v>21.45</v>
        <stp/>
        <stp>rtd-mysql</stp>
        <stp>options_yahoo</stp>
        <stp>AAPL150117C00600000</stp>
        <stp>Ask</stp>
        <tr r="Q5" s="9"/>
      </tp>
      <tp>
        <v>22.22</v>
        <stp/>
        <stp>rtd-mysql</stp>
        <stp>fundamentals_day_history_yahoo</stp>
        <stp>FB</stp>
        <stp>41694</stp>
        <stp>PriceSales</stp>
        <tr r="AR5" s="6"/>
      </tp>
      <tp>
        <v>104.2</v>
        <stp/>
        <stp>rtd-mysql</stp>
        <stp>option_day_history_yahoo</stp>
        <stp>AAPL150117P00600000</stp>
        <stp>41694</stp>
        <stp>Last</stp>
        <tr r="L7" s="8"/>
      </tp>
      <tp>
        <v>21.25</v>
        <stp/>
        <stp>rtd-mysql</stp>
        <stp>option_day_history_yahoo</stp>
        <stp>AAPL150117C00600000</stp>
        <stp>41694</stp>
        <stp>Last</stp>
        <tr r="L5" s="8"/>
      </tp>
      <tp>
        <v>37.799999999999997</v>
        <stp/>
        <stp>rtd-mysql</stp>
        <stp>option_day_history_yahoo</stp>
        <stp>AAPL150117P00500000</stp>
        <stp>41694</stp>
        <stp>Last</stp>
        <tr r="L6" s="8"/>
      </tp>
      <tp>
        <v>59.43</v>
        <stp/>
        <stp>rtd-mysql</stp>
        <stp>option_day_history_yahoo</stp>
        <stp>AAPL150117C00500000</stp>
        <stp>41694</stp>
        <stp>Last</stp>
        <tr r="L4" s="8"/>
      </tp>
      <tp>
        <v>38.15</v>
        <stp/>
        <stp>rtd-mysql</stp>
        <stp>option_day_history_yahoo</stp>
        <stp>AAPL150117P00500000</stp>
        <stp>41694</stp>
        <stp>Mark</stp>
        <tr r="O6" s="8"/>
      </tp>
      <tp>
        <v>59.225000000000001</v>
        <stp/>
        <stp>rtd-mysql</stp>
        <stp>option_day_history_yahoo</stp>
        <stp>AAPL150117C00500000</stp>
        <stp>41694</stp>
        <stp>Mark</stp>
        <tr r="O4" s="8"/>
      </tp>
      <tp>
        <v>100.8</v>
        <stp/>
        <stp>rtd-mysql</stp>
        <stp>option_day_history_yahoo</stp>
        <stp>AAPL150117P00600000</stp>
        <stp>41694</stp>
        <stp>Mark</stp>
        <tr r="O7" s="8"/>
      </tp>
      <tp>
        <v>21.225000000000001</v>
        <stp/>
        <stp>rtd-mysql</stp>
        <stp>option_day_history_yahoo</stp>
        <stp>AAPL150117C00600000</stp>
        <stp>41694</stp>
        <stp>Mark</stp>
        <tr r="O5" s="8"/>
      </tp>
      <tp t="s">
        <v>3.932B</v>
        <stp/>
        <stp>rtd-mysql</stp>
        <stp>fundamentals_yahoo</stp>
        <stp>FB</stp>
        <stp>EBITDA</stp>
        <tr r="AU5" s="7"/>
      </tp>
      <tp>
        <v>41695.187141203707</v>
        <stp/>
        <stp>rtd-mysql</stp>
        <stp>fundamentals_day_history_yahoo</stp>
        <stp>GOOG</stp>
        <stp>41694</stp>
        <stp>LastUpdateTimeStamp</stp>
        <tr r="AZ6" s="6"/>
      </tp>
      <tp>
        <v>2.5099999999999998</v>
        <stp/>
        <stp>rtd-mysql</stp>
        <stp>fundamentals_day_history_yahoo</stp>
        <stp>LNKD</stp>
        <stp>41694</stp>
        <stp>EPSEstNextYear</stp>
        <tr r="AI7" s="6"/>
      </tp>
      <tp>
        <v>-1.0097</v>
        <stp/>
        <stp>rtd-mysql</stp>
        <stp>fundamentals_yahoo</stp>
        <stp>YHOO</stp>
        <stp>ChangeFromMA50</stp>
        <tr r="Y10" s="7"/>
      </tp>
      <tp>
        <v>0.67</v>
        <stp/>
        <stp>rtd-mysql</stp>
        <stp>fundamentals_day_history_yahoo</stp>
        <stp>FB</stp>
        <stp>41694</stp>
        <stp>ChangeFromYearHigh</stp>
        <tr r="S5" s="6"/>
      </tp>
      <tp>
        <v>9.5999999999999992E-3</v>
        <stp/>
        <stp>rtd-mysql</stp>
        <stp>fundamentals_day_history_yahoo</stp>
        <stp>FB</stp>
        <stp>41694</stp>
        <stp>PercentChangeFromYearHigh</stp>
        <tr r="U5" s="6"/>
      </tp>
      <tp>
        <v>112.26</v>
        <stp/>
        <stp>rtd-mysql</stp>
        <stp>fundamentals_day_history_yahoo</stp>
        <stp>FB</stp>
        <stp>41694</stp>
        <stp>PE</stp>
        <tr r="AE5" s="6"/>
      </tp>
      <tp>
        <v>46.22</v>
        <stp/>
        <stp>rtd-mysql</stp>
        <stp>fundamentals_yahoo</stp>
        <stp>AAPL</stp>
        <stp>EPSEstNextYear</stp>
        <tr r="AI4" s="7"/>
      </tp>
      <tp t="s">
        <v>1.206B</v>
        <stp/>
        <stp>rtd-mysql</stp>
        <stp>fundamentals_yahoo</stp>
        <stp>YHOO</stp>
        <stp>EBITDA</stp>
        <tr r="AU10" s="7"/>
      </tp>
      <tp>
        <v>47756</v>
        <stp/>
        <stp>rtd-mysql</stp>
        <stp>stocks_yahoo</stp>
        <stp>GOOG</stp>
        <stp>FullTimeEmployees</stp>
        <tr r="G6" s="12"/>
      </tp>
      <tp>
        <v>41694</v>
        <stp/>
        <stp>rtd-mysql</stp>
        <stp>stocks_yahoo</stp>
        <stp>MSFT</stp>
        <stp>TradeEnd</stp>
        <tr r="I8" s="12"/>
      </tp>
      <tp>
        <v>70.11</v>
        <stp/>
        <stp>rtd-mysql</stp>
        <stp>fundamentals_day_history_yahoo</stp>
        <stp>FB</stp>
        <stp>41694</stp>
        <stp>YearHigh</stp>
        <tr r="P5" s="6"/>
      </tp>
      <tp>
        <v>10.3527</v>
        <stp/>
        <stp>rtd-mysql</stp>
        <stp>fundamentals_yahoo</stp>
        <stp>FB</stp>
        <stp>ChangeFromMA50</stp>
        <tr r="Y5" s="7"/>
      </tp>
      <tp t="s">
        <v>68.54 - 71.44</v>
        <stp/>
        <stp>rtd-mysql</stp>
        <stp>fundamentals_day_history_yahoo</stp>
        <stp>FB</stp>
        <stp>41694</stp>
        <stp>DaysRange</stp>
        <tr r="M5" s="6"/>
      </tp>
      <tp t="s">
        <v>Technology</v>
        <stp/>
        <stp>rtd-mysql</stp>
        <stp>stocks_yahoo</stp>
        <stp>FB</stp>
        <stp>Sector</stp>
        <tr r="E5" s="12"/>
      </tp>
      <tp t="s">
        <v>56.565B</v>
        <stp/>
        <stp>rtd-mysql</stp>
        <stp>fundamentals_day_history_yahoo</stp>
        <stp>AAPL</stp>
        <stp>41694</stp>
        <stp>EBITDA</stp>
        <tr r="AU4" s="6"/>
      </tp>
      <tp>
        <v>1212.8699999999999</v>
        <stp/>
        <stp>rtd-mysql</stp>
        <stp>fundamentals_day_history_yahoo</stp>
        <stp>GOOG</stp>
        <stp>41694</stp>
        <stp>YearHigh</stp>
        <tr r="P6" s="6"/>
      </tp>
      <tp>
        <v>-0.01</v>
        <stp/>
        <stp>rtd-mysql</stp>
        <stp>fundamentals_day_history_yahoo</stp>
        <stp>AAPL</stp>
        <stp>41694</stp>
        <stp>PercentChangeFromMA50</stp>
        <tr r="AA4" s="6"/>
      </tp>
      <tp>
        <v>13.05</v>
        <stp/>
        <stp>rtd-mysql</stp>
        <stp>fundamentals_day_history_yahoo</stp>
        <stp>MSFT</stp>
        <stp>41694</stp>
        <stp>PriceEPSEstNextYear</stp>
        <tr r="AT8" s="6"/>
      </tp>
      <tp>
        <v>5045</v>
        <stp/>
        <stp>rtd-mysql</stp>
        <stp>stocks_yahoo</stp>
        <stp>LNKD</stp>
        <stp>FullTimeEmployees</stp>
        <tr r="G7" s="12"/>
      </tp>
      <tp>
        <v>41695.187141203707</v>
        <stp/>
        <stp>rtd-mysql</stp>
        <stp>fundamentals_day_history_yahoo</stp>
        <stp>LNKD</stp>
        <stp>41694</stp>
        <stp>LastUpdateTimeStamp</stp>
        <tr r="AZ7" s="6"/>
      </tp>
      <tp>
        <v>-5.3140000000000001</v>
        <stp/>
        <stp>rtd-mysql</stp>
        <stp>fundamentals_day_history_yahoo</stp>
        <stp>AAPL</stp>
        <stp>41694</stp>
        <stp>ChangeFromMA50</stp>
        <tr r="Y4" s="6"/>
      </tp>
      <tp>
        <v>35.337499999999999</v>
        <stp/>
        <stp>rtd-mysql</stp>
        <stp>fundamentals_yahoo</stp>
        <stp>MSFT</stp>
        <stp>MA200</stp>
        <tr r="X8" s="7"/>
      </tp>
      <tp>
        <v>4.9599999999999998E-2</v>
        <stp/>
        <stp>rtd-mysql</stp>
        <stp>fundamentals_day_history_yahoo</stp>
        <stp>GOOG</stp>
        <stp>41694</stp>
        <stp>PercentChangeFromMA50</stp>
        <tr r="AA6" s="6"/>
      </tp>
      <tp>
        <v>10.36</v>
        <stp/>
        <stp>rtd-mysql</stp>
        <stp>fundamentals_yahoo</stp>
        <stp>MSFT</stp>
        <stp>ChangeFromYearLow</stp>
        <tr r="T8" s="7"/>
      </tp>
      <tp t="s">
        <v/>
        <stp/>
        <stp>rtd-mysql</stp>
        <stp>fundamentals_yahoo</stp>
        <stp>ORCL</stp>
        <stp>RTD_LastMessage</stp>
        <tr r="BA9" s="7"/>
      </tp>
      <tp t="e">
        <v>#N/A</v>
        <stp/>
        <stp>rtd-mysql</stp>
        <stp>fundamentals_day_history_yahoo</stp>
        <stp>FB</stp>
        <stp>41694</stp>
        <stp>Commission</stp>
        <tr r="AX5" s="6"/>
      </tp>
      <tp>
        <v>2.91</v>
        <stp/>
        <stp>rtd-mysql</stp>
        <stp>fundamentals_yahoo</stp>
        <stp>MSFT</stp>
        <stp>EPSEstNextYear</stp>
        <tr r="AI8" s="7"/>
      </tp>
      <tp>
        <v>41694</v>
        <stp/>
        <stp>rtd-mysql</stp>
        <stp>stocks_yahoo</stp>
        <stp>LNKD</stp>
        <stp>TradeEnd</stp>
        <tr r="I7" s="12"/>
      </tp>
      <tp>
        <v>41695.187141203707</v>
        <stp/>
        <stp>rtd-mysql</stp>
        <stp>fundamentals_day_history_yahoo</stp>
        <stp>FB</stp>
        <stp>41694</stp>
        <stp>LastUpdateTimeStamp</stp>
        <tr r="AZ5" s="6"/>
      </tp>
      <tp>
        <v>3872</v>
        <stp/>
        <stp>rtd-mysql</stp>
        <stp>option_day_history_yahoo</stp>
        <stp>AAPL150117P00600000</stp>
        <stp>41694</stp>
        <stp>OpenInt</stp>
        <tr r="S7" s="8"/>
      </tp>
      <tp>
        <v>19360</v>
        <stp/>
        <stp>rtd-mysql</stp>
        <stp>option_day_history_yahoo</stp>
        <stp>AAPL150117P00500000</stp>
        <stp>41694</stp>
        <stp>OpenInt</stp>
        <tr r="S6" s="8"/>
      </tp>
      <tp>
        <v>-4.6300000000000001E-2</v>
        <stp/>
        <stp>rtd-mysql</stp>
        <stp>fundamentals_day_history_yahoo</stp>
        <stp>LNKD</stp>
        <stp>41694</stp>
        <stp>PercentChangeFromMA50</stp>
        <tr r="AA7" s="6"/>
      </tp>
      <tp>
        <v>2.91</v>
        <stp/>
        <stp>rtd-mysql</stp>
        <stp>fundamentals_day_history_yahoo</stp>
        <stp>MSFT</stp>
        <stp>41694</stp>
        <stp>EPSEstNextYear</stp>
        <tr r="AI8" s="6"/>
      </tp>
      <tp t="s">
        <v/>
        <stp/>
        <stp>rtd-mysql</stp>
        <stp>fundamentals_yahoo</stp>
        <stp>MSFT</stp>
        <stp>RTD_LastMessage</stp>
        <tr r="BA8" s="7"/>
      </tp>
      <tp>
        <v>41695.187141203707</v>
        <stp/>
        <stp>rtd-mysql</stp>
        <stp>fundamentals_yahoo</stp>
        <stp>FB</stp>
        <stp>LastUpdateTimeStamp</stp>
        <tr r="AZ5" s="7"/>
      </tp>
      <tp>
        <v>2.5099999999999998</v>
        <stp/>
        <stp>rtd-mysql</stp>
        <stp>fundamentals_yahoo</stp>
        <stp>LNKD</stp>
        <stp>EPSEstNextYear</stp>
        <tr r="AI7" s="7"/>
      </tp>
      <tp>
        <v>60.427300000000002</v>
        <stp/>
        <stp>rtd-mysql</stp>
        <stp>fundamentals_yahoo</stp>
        <stp>FB</stp>
        <stp>MA50</stp>
        <tr r="W5" s="7"/>
      </tp>
      <tp t="s">
        <v>Internet Information Providers</v>
        <stp/>
        <stp>rtd-mysql</stp>
        <stp>stocks_yahoo</stp>
        <stp>FB</stp>
        <stp>Industry</stp>
        <tr r="F5" s="12"/>
      </tp>
      <tp>
        <v>575.14</v>
        <stp/>
        <stp>rtd-mysql</stp>
        <stp>fundamentals_yahoo</stp>
        <stp>AAPL</stp>
        <stp>YearHigh</stp>
        <tr r="P4" s="7"/>
      </tp>
      <tp>
        <v>0.6</v>
        <stp/>
        <stp>rtd-mysql</stp>
        <stp>fundamentals_day_history_yahoo</stp>
        <stp>FB</stp>
        <stp>41694</stp>
        <stp>ShortRatio</stp>
        <tr r="O5" s="6"/>
      </tp>
      <tp>
        <v>0.40029999999999999</v>
        <stp/>
        <stp>rtd-mysql</stp>
        <stp>fundamentals_day_history_yahoo</stp>
        <stp>FB</stp>
        <stp>41694</stp>
        <stp>PercentChangeFromMA200</stp>
        <tr r="AB5" s="6"/>
      </tp>
      <tp>
        <v>0.66666666666666663</v>
        <stp/>
        <stp>rtd-mysql</stp>
        <stp>quotes_yahoo</stp>
        <stp>FB</stp>
        <stp>LastTradeTime</stp>
        <tr r="E5" s="11"/>
        <tr r="E5" s="1"/>
      </tp>
      <tp>
        <v>3.19</v>
        <stp/>
        <stp>rtd-mysql</stp>
        <stp>fundamentals_yahoo</stp>
        <stp>ORCL</stp>
        <stp>EPSEstNextYear</stp>
        <tr r="AI9" s="7"/>
      </tp>
      <tp>
        <v>2.19</v>
        <stp/>
        <stp>rtd-mysql</stp>
        <stp>quotes_yahoo</stp>
        <stp>FB</stp>
        <stp>Change</stp>
        <tr r="G5" s="11"/>
        <tr r="G5" s="1"/>
      </tp>
      <tp t="s">
        <v>312.9B</v>
        <stp/>
        <stp>rtd-mysql</stp>
        <stp>fundamentals_yahoo</stp>
        <stp>MSFT</stp>
        <stp>MarketCap</stp>
        <tr r="AK8" s="7"/>
      </tp>
      <tp>
        <v>0.68239583333333331</v>
        <stp/>
        <stp>rtd-mysql</stp>
        <stp>option_day_history_yahoo</stp>
        <stp>AAPL150117C00600000</stp>
        <stp>41694</stp>
        <stp>Time</stp>
        <tr r="E5" s="8"/>
      </tp>
      <tp>
        <v>0.68239583333333331</v>
        <stp/>
        <stp>rtd-mysql</stp>
        <stp>option_day_history_yahoo</stp>
        <stp>AAPL150117P00600000</stp>
        <stp>41694</stp>
        <stp>Time</stp>
        <tr r="E7" s="8"/>
      </tp>
      <tp>
        <v>0.68239583333333331</v>
        <stp/>
        <stp>rtd-mysql</stp>
        <stp>option_day_history_yahoo</stp>
        <stp>AAPL150117C00500000</stp>
        <stp>41694</stp>
        <stp>Time</stp>
        <tr r="E4" s="8"/>
      </tp>
      <tp>
        <v>0.68239583333333331</v>
        <stp/>
        <stp>rtd-mysql</stp>
        <stp>option_day_history_yahoo</stp>
        <stp>AAPL150117P00500000</stp>
        <stp>41694</stp>
        <stp>Time</stp>
        <tr r="E6" s="8"/>
      </tp>
      <tp>
        <v>41695.187141203707</v>
        <stp/>
        <stp>rtd-mysql</stp>
        <stp>fundamentals_day_history_yahoo</stp>
        <stp>YHOO</stp>
        <stp>41694</stp>
        <stp>LastUpdateTimeStamp</stp>
        <tr r="AZ10" s="6"/>
      </tp>
      <tp>
        <v>3.19</v>
        <stp/>
        <stp>rtd-mysql</stp>
        <stp>fundamentals_day_history_yahoo</stp>
        <stp>ORCL</stp>
        <stp>41694</stp>
        <stp>EPSEstNextYear</stp>
        <tr r="AI9" s="6"/>
      </tp>
      <tp>
        <v>38.979999999999997</v>
        <stp/>
        <stp>rtd-mysql</stp>
        <stp>fundamentals_day_history_yahoo</stp>
        <stp>MSFT</stp>
        <stp>41694</stp>
        <stp>YearHigh</stp>
        <tr r="P8" s="6"/>
      </tp>
      <tp>
        <v>0.66666666666666663</v>
        <stp/>
        <stp>rtd-mysql</stp>
        <stp>quote_day_history_yahoo</stp>
        <stp>FB</stp>
        <stp>41694</stp>
        <stp>LastTradeTime</stp>
        <tr r="E5" s="10"/>
      </tp>
      <tp>
        <v>41694</v>
        <stp/>
        <stp>rtd-mysql</stp>
        <stp>stocks_yahoo</stp>
        <stp>YHOO</stp>
        <stp>TradeEnd</stp>
        <tr r="I10" s="12"/>
      </tp>
      <tp>
        <v>41694</v>
        <stp/>
        <stp>rtd-mysql</stp>
        <stp>stocks_yahoo</stp>
        <stp>GOOG</stp>
        <stp>TradeEnd</stp>
        <tr r="I6" s="12"/>
      </tp>
      <tp>
        <v>257.56</v>
        <stp/>
        <stp>rtd-mysql</stp>
        <stp>fundamentals_day_history_yahoo</stp>
        <stp>LNKD</stp>
        <stp>41694</stp>
        <stp>YearHigh</stp>
        <tr r="P7" s="6"/>
      </tp>
      <tp t="e">
        <v>#N/A</v>
        <stp/>
        <stp>rtd-mysql</stp>
        <stp>stocks_yahoo</stp>
        <stp>YHOO</stp>
        <stp>FullTimeEmployees</stp>
        <tr r="G10" s="12"/>
      </tp>
      <tp>
        <v>38.770000000000003</v>
        <stp/>
        <stp>rtd-mysql</stp>
        <stp>fundamentals_day_history_yahoo</stp>
        <stp>ORCL</stp>
        <stp>41694</stp>
        <stp>YearHigh</stp>
        <tr r="P9" s="6"/>
      </tp>
      <tp>
        <v>80300</v>
        <stp/>
        <stp>rtd-mysql</stp>
        <stp>stocks_yahoo</stp>
        <stp>AAPL</stp>
        <stp>FullTimeEmployees</stp>
        <tr r="G4" s="12"/>
      </tp>
      <tp>
        <v>120000</v>
        <stp/>
        <stp>rtd-mysql</stp>
        <stp>stocks_yahoo</stp>
        <stp>ORCL</stp>
        <stp>FullTimeEmployees</stp>
        <tr r="G9" s="12"/>
      </tp>
      <tp>
        <v>41695.187141203707</v>
        <stp/>
        <stp>rtd-mysql</stp>
        <stp>fundamentals_day_history_yahoo</stp>
        <stp>AAPL</stp>
        <stp>41694</stp>
        <stp>LastUpdateTimeStamp</stp>
        <tr r="AZ4" s="6"/>
      </tp>
      <tp>
        <v>41695.187141203707</v>
        <stp/>
        <stp>rtd-mysql</stp>
        <stp>fundamentals_day_history_yahoo</stp>
        <stp>ORCL</stp>
        <stp>41694</stp>
        <stp>LastUpdateTimeStamp</stp>
        <tr r="AZ9" s="6"/>
      </tp>
      <tp>
        <v>-2.63E-2</v>
        <stp/>
        <stp>rtd-mysql</stp>
        <stp>fundamentals_day_history_yahoo</stp>
        <stp>YHOO</stp>
        <stp>41694</stp>
        <stp>PercentChangeFromMA50</stp>
        <tr r="AA10" s="6"/>
      </tp>
      <tp>
        <v>2.3525</v>
        <stp/>
        <stp>rtd-mysql</stp>
        <stp>fundamentals_day_history_yahoo</stp>
        <stp>MSFT</stp>
        <stp>41694</stp>
        <stp>ChangeFromMA200</stp>
        <tr r="Z8" s="6"/>
      </tp>
      <tp>
        <v>76457840</v>
        <stp/>
        <stp>rtd-mysql</stp>
        <stp>quotes_yahoo</stp>
        <stp>FB</stp>
        <stp>Volume</stp>
        <tr r="L5" s="1"/>
        <tr r="L5" s="11"/>
      </tp>
      <tp>
        <v>34.745100000000001</v>
        <stp/>
        <stp>rtd-mysql</stp>
        <stp>fundamentals_yahoo</stp>
        <stp>ORCL</stp>
        <stp>MA200</stp>
        <tr r="X9" s="7"/>
      </tp>
      <tp t="s">
        <v>31.828B</v>
        <stp/>
        <stp>rtd-mysql</stp>
        <stp>fundamentals_day_history_yahoo</stp>
        <stp>MSFT</stp>
        <stp>41694</stp>
        <stp>EBITDA</stp>
        <tr r="AU8" s="6"/>
      </tp>
      <tp>
        <v>517.43700000000001</v>
        <stp/>
        <stp>rtd-mysql</stp>
        <stp>fundamentals_yahoo</stp>
        <stp>AAPL</stp>
        <stp>MA200</stp>
        <tr r="X4" s="7"/>
      </tp>
      <tp>
        <v>68.540000000000006</v>
        <stp/>
        <stp>rtd-mysql</stp>
        <stp>quotes_yahoo</stp>
        <stp>FB</stp>
        <stp>Low</stp>
        <tr r="K5" s="1"/>
        <tr r="K5" s="11"/>
      </tp>
      <tp>
        <v>1.0747</v>
        <stp/>
        <stp>rtd-mysql</stp>
        <stp>fundamentals_yahoo</stp>
        <stp>MSFT</stp>
        <stp>ChangeFromMA50</stp>
        <tr r="Y8" s="7"/>
      </tp>
      <tp>
        <v>8.2799999999999994</v>
        <stp/>
        <stp>rtd-mysql</stp>
        <stp>fundamentals_yahoo</stp>
        <stp>ORCL</stp>
        <stp>ChangeFromYearLow</stp>
        <tr r="T9" s="7"/>
      </tp>
      <tp>
        <v>142.44999999999999</v>
        <stp/>
        <stp>rtd-mysql</stp>
        <stp>fundamentals_yahoo</stp>
        <stp>AAPL</stp>
        <stp>ChangeFromYearLow</stp>
        <tr r="T4" s="7"/>
      </tp>
      <tp t="s">
        <v>38.870B</v>
        <stp/>
        <stp>rtd-mysql</stp>
        <stp>fundamentals_yahoo</stp>
        <stp>YHOO</stp>
        <stp>MarketCap</stp>
        <tr r="AK10" s="7"/>
      </tp>
      <tp t="s">
        <v>166.7M</v>
        <stp/>
        <stp>rtd-mysql</stp>
        <stp>fundamentals_yahoo</stp>
        <stp>LNKD</stp>
        <stp>EBITDA</stp>
        <tr r="AU7" s="7"/>
      </tp>
      <tp>
        <v>12.04</v>
        <stp/>
        <stp>rtd-mysql</stp>
        <stp>fundamentals_yahoo</stp>
        <stp>GOOG</stp>
        <stp>EPSEstNextQuarter</stp>
        <tr r="AH6" s="7"/>
      </tp>
      <tp>
        <v>-9.68</v>
        <stp/>
        <stp>rtd-mysql</stp>
        <stp>fundamentals_yahoo</stp>
        <stp>LNKD</stp>
        <stp>ChangeFromMA50</stp>
        <tr r="Y7" s="7"/>
      </tp>
      <tp>
        <v>20.232700000000001</v>
        <stp/>
        <stp>rtd-mysql</stp>
        <stp>fundamentals_day_history_yahoo</stp>
        <stp>FB</stp>
        <stp>41694</stp>
        <stp>ChangeFromMA200</stp>
        <tr r="Z5" s="6"/>
      </tp>
      <tp>
        <v>257.56</v>
        <stp/>
        <stp>rtd-mysql</stp>
        <stp>fundamentals_yahoo</stp>
        <stp>LNKD</stp>
        <stp>YearHigh</stp>
        <tr r="P7" s="7"/>
      </tp>
      <tp t="s">
        <v>31.828B</v>
        <stp/>
        <stp>rtd-mysql</stp>
        <stp>fundamentals_yahoo</stp>
        <stp>MSFT</stp>
        <stp>EBITDA</stp>
        <tr r="AU8" s="7"/>
      </tp>
      <tp>
        <v>1.0747</v>
        <stp/>
        <stp>rtd-mysql</stp>
        <stp>fundamentals_day_history_yahoo</stp>
        <stp>MSFT</stp>
        <stp>41694</stp>
        <stp>ChangeFromMA50</stp>
        <tr r="Y8" s="6"/>
      </tp>
      <tp>
        <v>6.1040000000000001</v>
        <stp/>
        <stp>rtd-mysql</stp>
        <stp>fundamentals_day_history_yahoo</stp>
        <stp>FB</stp>
        <stp>41694</stp>
        <stp>BookValue</stp>
        <tr r="AP5" s="6"/>
      </tp>
      <tp>
        <v>20.232700000000001</v>
        <stp/>
        <stp>rtd-mysql</stp>
        <stp>fundamentals_yahoo</stp>
        <stp>FB</stp>
        <stp>ChangeFromMA200</stp>
        <tr r="Z5" s="7"/>
      </tp>
      <tp>
        <v>0.37</v>
        <stp/>
        <stp>rtd-mysql</stp>
        <stp>fundamentals_yahoo</stp>
        <stp>LNKD</stp>
        <stp>EPSEstNextQuarter</stp>
        <tr r="AH7" s="7"/>
      </tp>
      <tp>
        <v>0.28000000000000003</v>
        <stp/>
        <stp>rtd-mysql</stp>
        <stp>fundamentals_yahoo</stp>
        <stp>FB</stp>
        <stp>EPSEstNextQuarter</stp>
        <tr r="AH5" s="7"/>
      </tp>
      <tp>
        <v>0.58179999999999998</v>
        <stp/>
        <stp>rtd-mysql</stp>
        <stp>fundamentals_yahoo</stp>
        <stp>ORCL</stp>
        <stp>ChangeFromMA50</stp>
        <tr r="Y9" s="7"/>
      </tp>
      <tp t="s">
        <v/>
        <stp/>
        <stp>rtd-mysql</stp>
        <stp>fundamentals_yahoo</stp>
        <stp>YHOO</stp>
        <stp>RTD_LastMessage</stp>
        <tr r="BA10" s="7"/>
      </tp>
      <tp>
        <v>34.547699999999999</v>
        <stp/>
        <stp>rtd-mysql</stp>
        <stp>fundamentals_yahoo</stp>
        <stp>YHOO</stp>
        <stp>MA200</stp>
        <tr r="X10" s="7"/>
      </tp>
      <tp t="e">
        <v>#N/A</v>
        <stp/>
        <stp>rtd-mysql</stp>
        <stp>stocks_yahoo</stp>
        <stp>FB</stp>
        <stp>CompanyName</stp>
        <tr r="D5" s="12"/>
      </tp>
      <tp t="s">
        <v>171.5B</v>
        <stp/>
        <stp>rtd-mysql</stp>
        <stp>fundamentals_yahoo</stp>
        <stp>ORCL</stp>
        <stp>MarketCap</stp>
        <tr r="AK9" s="7"/>
      </tp>
      <tp t="s">
        <v>470.6B</v>
        <stp/>
        <stp>rtd-mysql</stp>
        <stp>fundamentals_yahoo</stp>
        <stp>AAPL</stp>
        <stp>MarketCap</stp>
        <tr r="AK4" s="7"/>
      </tp>
      <tp>
        <v>41695.187152777777</v>
        <stp/>
        <stp>rtd-mysql</stp>
        <stp>quotes_yahoo</stp>
        <stp>AAPL</stp>
        <stp>LastUpdateTimeStamp</stp>
        <tr r="M4" s="11"/>
        <tr r="M4" s="1"/>
      </tp>
      <tp>
        <v>16.84</v>
        <stp/>
        <stp>rtd-mysql</stp>
        <stp>fundamentals_yahoo</stp>
        <stp>YHOO</stp>
        <stp>ChangeFromYearLow</stp>
        <tr r="T10" s="7"/>
      </tp>
      <tp>
        <v>41695.187152777777</v>
        <stp/>
        <stp>rtd-mysql</stp>
        <stp>stocks_yahoo</stp>
        <stp>AAPL</stp>
        <stp>LastUpdateTimeStamp</stp>
        <tr r="J4" s="12"/>
      </tp>
      <tp t="s">
        <v>16.289B</v>
        <stp/>
        <stp>rtd-mysql</stp>
        <stp>fundamentals_yahoo</stp>
        <stp>ORCL</stp>
        <stp>EBITDA</stp>
        <tr r="AU9" s="7"/>
      </tp>
      <tp>
        <v>41694</v>
        <stp/>
        <stp>rtd-mysql</stp>
        <stp>stocks_yahoo</stp>
        <stp>AAPL</stp>
        <stp>TradeEnd</stp>
        <tr r="I4" s="12"/>
      </tp>
      <tp>
        <v>2.8723000000000001</v>
        <stp/>
        <stp>rtd-mysql</stp>
        <stp>fundamentals_day_history_yahoo</stp>
        <stp>YHOO</stp>
        <stp>41694</stp>
        <stp>ChangeFromMA200</stp>
        <tr r="Z10" s="6"/>
      </tp>
      <tp>
        <v>2.9399999999999999E-2</v>
        <stp/>
        <stp>rtd-mysql</stp>
        <stp>fundamentals_day_history_yahoo</stp>
        <stp>MSFT</stp>
        <stp>41694</stp>
        <stp>PercentChangeFromMA50</stp>
        <tr r="AA8" s="6"/>
      </tp>
      <tp>
        <v>31484</v>
        <stp/>
        <stp>rtd-mysql</stp>
        <stp>stocks_yahoo</stp>
        <stp>MSFT</stp>
        <stp>TradeStart</stp>
        <tr r="H8" s="12"/>
      </tp>
      <tp t="s">
        <v/>
        <stp/>
        <stp>rtd-mysql</stp>
        <stp>fundamentals_yahoo</stp>
        <stp>LNKD</stp>
        <stp>RTD_LastMessage</stp>
        <tr r="BA7" s="7"/>
      </tp>
      <tp>
        <v>11.24</v>
        <stp/>
        <stp>rtd-mysql</stp>
        <stp>fundamentals_day_history_yahoo</stp>
        <stp>FB</stp>
        <stp>41694</stp>
        <stp>PriceBook</stp>
        <tr r="AQ5" s="6"/>
      </tp>
      <tp>
        <v>0.58179999999999998</v>
        <stp/>
        <stp>rtd-mysql</stp>
        <stp>fundamentals_day_history_yahoo</stp>
        <stp>ORCL</stp>
        <stp>41694</stp>
        <stp>ChangeFromMA50</stp>
        <tr r="Y9" s="6"/>
      </tp>
      <tp>
        <v>2.46551724137931E-2</v>
        <stp/>
        <stp>rtd-mysql</stp>
        <stp>option_day_history_yahoo</stp>
        <stp>AAPL150117C00500000</stp>
        <stp>41694</stp>
        <stp>PercentChange</stp>
        <tr r="N4" s="8"/>
      </tp>
      <tp>
        <v>-5.2631578947368397E-2</v>
        <stp/>
        <stp>rtd-mysql</stp>
        <stp>option_day_history_yahoo</stp>
        <stp>AAPL150117P00500000</stp>
        <stp>41694</stp>
        <stp>PercentChange</stp>
        <tr r="N6" s="8"/>
      </tp>
      <tp>
        <v>3.65853658536585E-2</v>
        <stp/>
        <stp>rtd-mysql</stp>
        <stp>option_day_history_yahoo</stp>
        <stp>AAPL150117C00600000</stp>
        <stp>41694</stp>
        <stp>PercentChange</stp>
        <tr r="N5" s="8"/>
      </tp>
      <tp>
        <v>1.1650485436893201E-2</v>
        <stp/>
        <stp>rtd-mysql</stp>
        <stp>option_day_history_yahoo</stp>
        <stp>AAPL150117P00600000</stp>
        <stp>41694</stp>
        <stp>PercentChange</stp>
        <tr r="N7" s="8"/>
      </tp>
      <tp t="s">
        <v>16.289B</v>
        <stp/>
        <stp>rtd-mysql</stp>
        <stp>fundamentals_day_history_yahoo</stp>
        <stp>ORCL</stp>
        <stp>41694</stp>
        <stp>EBITDA</stp>
        <tr r="AU9" s="6"/>
      </tp>
      <tp>
        <v>1.55E-2</v>
        <stp/>
        <stp>rtd-mysql</stp>
        <stp>fundamentals_day_history_yahoo</stp>
        <stp>ORCL</stp>
        <stp>41694</stp>
        <stp>PercentChangeFromMA50</stp>
        <tr r="AA9" s="6"/>
      </tp>
      <tp>
        <v>19.66</v>
        <stp/>
        <stp>rtd-mysql</stp>
        <stp>fundamentals_day_history_yahoo</stp>
        <stp>GOOG</stp>
        <stp>41694</stp>
        <stp>PriceEPSEstNextYear</stp>
        <tr r="AT6" s="6"/>
      </tp>
      <tp>
        <v>41.72</v>
        <stp/>
        <stp>rtd-mysql</stp>
        <stp>fundamentals_yahoo</stp>
        <stp>YHOO</stp>
        <stp>YearHigh</stp>
        <tr r="P10" s="7"/>
      </tp>
      <tp t="s">
        <v/>
        <stp/>
        <stp>rtd-mysql</stp>
        <stp>fundamentals_yahoo</stp>
        <stp>GOOG</stp>
        <stp>RTD_LastMessage</stp>
        <tr r="BA6" s="7"/>
      </tp>
      <tp>
        <v>1212.8699999999999</v>
        <stp/>
        <stp>rtd-mysql</stp>
        <stp>fundamentals_yahoo</stp>
        <stp>GOOG</stp>
        <stp>YearHigh</stp>
        <tr r="P6" s="7"/>
      </tp>
      <tp>
        <v>70.040000000000006</v>
        <stp/>
        <stp>rtd-mysql</stp>
        <stp>fundamentals_day_history_yahoo</stp>
        <stp>FB</stp>
        <stp>41694</stp>
        <stp>OneYearTargetPrice</stp>
        <tr r="AD5" s="6"/>
      </tp>
      <tp>
        <v>40682</v>
        <stp/>
        <stp>rtd-mysql</stp>
        <stp>stocks_yahoo</stp>
        <stp>LNKD</stp>
        <stp>TradeStart</stp>
        <tr r="H7" s="12"/>
      </tp>
      <tp>
        <v>76.739999999999995</v>
        <stp/>
        <stp>rtd-mysql</stp>
        <stp>fundamentals_day_history_yahoo</stp>
        <stp>LNKD</stp>
        <stp>41694</stp>
        <stp>PriceEPSEstNextYear</stp>
        <tr r="AT7" s="6"/>
      </tp>
      <tp>
        <v>32204</v>
        <stp/>
        <stp>rtd-mysql</stp>
        <stp>stocks_yahoo</stp>
        <stp>ORCL</stp>
        <stp>TradeStart</stp>
        <tr r="H9" s="12"/>
      </tp>
      <tp>
        <v>99000</v>
        <stp/>
        <stp>rtd-mysql</stp>
        <stp>stocks_yahoo</stp>
        <stp>MSFT</stp>
        <stp>FullTimeEmployees</stp>
        <tr r="G8" s="12"/>
      </tp>
      <tp>
        <v>41695.187141203707</v>
        <stp/>
        <stp>rtd-mysql</stp>
        <stp>fundamentals_day_history_yahoo</stp>
        <stp>MSFT</stp>
        <stp>41694</stp>
        <stp>LastUpdateTimeStamp</stp>
        <tr r="AZ8" s="6"/>
      </tp>
      <tp>
        <v>3.3948999999999998</v>
        <stp/>
        <stp>rtd-mysql</stp>
        <stp>fundamentals_day_history_yahoo</stp>
        <stp>ORCL</stp>
        <stp>41694</stp>
        <stp>ChangeFromMA200</stp>
        <tr r="Z9" s="6"/>
      </tp>
      <tp>
        <v>10.113</v>
        <stp/>
        <stp>rtd-mysql</stp>
        <stp>fundamentals_day_history_yahoo</stp>
        <stp>AAPL</stp>
        <stp>41694</stp>
        <stp>ChangeFromMA200</stp>
        <tr r="Z4" s="6"/>
      </tp>
      <tp>
        <v>50.5473</v>
        <stp/>
        <stp>rtd-mysql</stp>
        <stp>fundamentals_yahoo</stp>
        <stp>FB</stp>
        <stp>MA200</stp>
        <tr r="X5" s="7"/>
      </tp>
      <tp>
        <v>226.941</v>
        <stp/>
        <stp>rtd-mysql</stp>
        <stp>fundamentals_yahoo</stp>
        <stp>LNKD</stp>
        <stp>MA200</stp>
        <tr r="X7" s="7"/>
      </tp>
      <tp>
        <v>44.59</v>
        <stp/>
        <stp>rtd-mysql</stp>
        <stp>fundamentals_yahoo</stp>
        <stp>LNKD</stp>
        <stp>ChangeFromYearLow</stp>
        <tr r="T7" s="7"/>
      </tp>
      <tp t="s">
        <v>407.5B</v>
        <stp/>
        <stp>rtd-mysql</stp>
        <stp>fundamentals_yahoo</stp>
        <stp>GOOG</stp>
        <stp>MarketCap</stp>
        <tr r="AK6" s="7"/>
      </tp>
      <tp>
        <v>48.11</v>
        <stp/>
        <stp>rtd-mysql</stp>
        <stp>fundamentals_yahoo</stp>
        <stp>FB</stp>
        <stp>ChangeFromYearLow</stp>
        <tr r="T5" s="7"/>
      </tp>
      <tp>
        <v>41.72</v>
        <stp/>
        <stp>rtd-mysql</stp>
        <stp>fundamentals_day_history_yahoo</stp>
        <stp>YHOO</stp>
        <stp>41694</stp>
        <stp>YearHigh</stp>
        <tr r="P10" s="6"/>
      </tp>
      <tp>
        <v>40.83</v>
        <stp/>
        <stp>rtd-mysql</stp>
        <stp>fundamentals_day_history_yahoo</stp>
        <stp>FB</stp>
        <stp>41694</stp>
        <stp>PriceEPSEstNextYear</stp>
        <tr r="AT5" s="6"/>
      </tp>
      <tp t="e">
        <v>#N/A</v>
        <stp/>
        <stp>rtd-mysql</stp>
        <stp>stocks_yahoo</stp>
        <stp>AAPL</stp>
        <stp>TradeStart</stp>
        <tr r="H4" s="12"/>
      </tp>
      <tp>
        <v>68.59</v>
        <stp/>
        <stp>rtd-mysql</stp>
        <stp>fundamentals_day_history_yahoo</stp>
        <stp>FB</stp>
        <stp>41694</stp>
        <stp>PrevClose</stp>
        <tr r="N5" s="6"/>
      </tp>
      <tp>
        <v>-1.0097</v>
        <stp/>
        <stp>rtd-mysql</stp>
        <stp>fundamentals_day_history_yahoo</stp>
        <stp>YHOO</stp>
        <stp>41694</stp>
        <stp>ChangeFromMA50</stp>
        <tr r="Y10" s="6"/>
      </tp>
      <tp>
        <v>40.83</v>
        <stp/>
        <stp>rtd-mysql</stp>
        <stp>fundamentals_yahoo</stp>
        <stp>FB</stp>
        <stp>PriceEPSEstNextYear</stp>
        <tr r="AT5" s="7"/>
      </tp>
      <tp>
        <v>57.320099999999996</v>
        <stp/>
        <stp>rtd-mysql</stp>
        <stp>fundamentals_day_history_yahoo</stp>
        <stp>GOOG</stp>
        <stp>41694</stp>
        <stp>ChangeFromMA50</stp>
        <tr r="Y6" s="6"/>
      </tp>
      <tp t="s">
        <v>18.028B</v>
        <stp/>
        <stp>rtd-mysql</stp>
        <stp>fundamentals_day_history_yahoo</stp>
        <stp>GOOG</stp>
        <stp>41694</stp>
        <stp>EBITDA</stp>
        <tr r="AU6" s="6"/>
      </tp>
      <tp t="s">
        <v>1.206B</v>
        <stp/>
        <stp>rtd-mysql</stp>
        <stp>fundamentals_day_history_yahoo</stp>
        <stp>YHOO</stp>
        <stp>41694</stp>
        <stp>EBITDA</stp>
        <tr r="AU10" s="6"/>
      </tp>
      <tp>
        <v>0.37</v>
        <stp/>
        <stp>rtd-mysql</stp>
        <stp>fundamentals_yahoo</stp>
        <stp>YHOO</stp>
        <stp>EPSEstNextQuarter</stp>
        <tr r="AH10" s="7"/>
      </tp>
      <tp>
        <v>38.770000000000003</v>
        <stp/>
        <stp>rtd-mysql</stp>
        <stp>fundamentals_yahoo</stp>
        <stp>ORCL</stp>
        <stp>YearHigh</stp>
        <tr r="P9" s="7"/>
      </tp>
      <tp>
        <v>3.1928852602420198E-2</v>
        <stp/>
        <stp>rtd-mysql</stp>
        <stp>quotes_yahoo</stp>
        <stp>FB</stp>
        <stp>PercentChange</stp>
        <tr r="H5" s="11"/>
        <tr r="H5" s="1"/>
      </tp>
      <tp>
        <v>0.96</v>
        <stp/>
        <stp>rtd-mysql</stp>
        <stp>fundamentals_yahoo</stp>
        <stp>ORCL</stp>
        <stp>EPSEstNextQuarter</stp>
        <tr r="AH9" s="7"/>
      </tp>
      <tp>
        <v>8.61</v>
        <stp/>
        <stp>rtd-mysql</stp>
        <stp>fundamentals_yahoo</stp>
        <stp>AAPL</stp>
        <stp>EPSEstNextQuarter</stp>
        <tr r="AH4" s="7"/>
      </tp>
      <tp>
        <v>26340</v>
        <stp/>
        <stp>rtd-mysql</stp>
        <stp>option_day_history_yahoo</stp>
        <stp>AAPL150117C00600000</stp>
        <stp>41694</stp>
        <stp>OpenInt</stp>
        <tr r="S5" s="8"/>
      </tp>
      <tp>
        <v>45067</v>
        <stp/>
        <stp>rtd-mysql</stp>
        <stp>option_day_history_yahoo</stp>
        <stp>AAPL150117C00500000</stp>
        <stp>41694</stp>
        <stp>OpenInt</stp>
        <tr r="S4" s="8"/>
      </tp>
      <tp>
        <v>41695.187152777777</v>
        <stp/>
        <stp>rtd-mysql</stp>
        <stp>stocks_yahoo</stp>
        <stp>YHOO</stp>
        <stp>LastUpdateTimeStamp</stp>
        <tr r="J10" s="12"/>
      </tp>
      <tp>
        <v>41695.187152777777</v>
        <stp/>
        <stp>rtd-mysql</stp>
        <stp>quotes_yahoo</stp>
        <stp>YHOO</stp>
        <stp>LastUpdateTimeStamp</stp>
        <tr r="M10" s="11"/>
        <tr r="M10" s="1"/>
      </tp>
      <tp>
        <v>57.320099999999996</v>
        <stp/>
        <stp>rtd-mysql</stp>
        <stp>fundamentals_yahoo</stp>
        <stp>GOOG</stp>
        <stp>ChangeFromMA50</stp>
        <tr r="Y6" s="7"/>
      </tp>
      <tp>
        <v>1011.66</v>
        <stp/>
        <stp>rtd-mysql</stp>
        <stp>fundamentals_yahoo</stp>
        <stp>GOOG</stp>
        <stp>MA200</stp>
        <tr r="X6" s="7"/>
      </tp>
      <tp t="s">
        <v>24.057B</v>
        <stp/>
        <stp>rtd-mysql</stp>
        <stp>fundamentals_yahoo</stp>
        <stp>LNKD</stp>
        <stp>MarketCap</stp>
        <tr r="AK7" s="7"/>
      </tp>
      <tp>
        <v>451.25</v>
        <stp/>
        <stp>rtd-mysql</stp>
        <stp>fundamentals_yahoo</stp>
        <stp>GOOG</stp>
        <stp>ChangeFromYearLow</stp>
        <tr r="T6" s="7"/>
      </tp>
      <tp t="s">
        <v>180.5B</v>
        <stp/>
        <stp>rtd-mysql</stp>
        <stp>fundamentals_yahoo</stp>
        <stp>FB</stp>
        <stp>MarketCap</stp>
        <tr r="AK5" s="7"/>
      </tp>
      <tp t="s">
        <v>18.028B</v>
        <stp/>
        <stp>rtd-mysql</stp>
        <stp>fundamentals_yahoo</stp>
        <stp>GOOG</stp>
        <stp>EBITDA</stp>
        <tr r="AU6" s="7"/>
      </tp>
      <tp t="s">
        <v/>
        <stp/>
        <stp>rtd-mysql</stp>
        <stp>fundamentals_yahoo</stp>
        <stp>AAPL</stp>
        <stp>RTD_LastMessage</stp>
        <tr r="BA4" s="7"/>
      </tp>
      <tp t="s">
        <v>CALL</v>
        <stp/>
        <stp>rtd-mysql</stp>
        <stp>option_day_history_yahoo</stp>
        <stp>AAPL150117C00600000</stp>
        <stp>41694</stp>
        <stp>Type</stp>
        <tr r="K5" s="8"/>
      </tp>
      <tp t="s">
        <v>PUT</v>
        <stp/>
        <stp>rtd-mysql</stp>
        <stp>option_day_history_yahoo</stp>
        <stp>AAPL150117P00600000</stp>
        <stp>41694</stp>
        <stp>Type</stp>
        <tr r="K7" s="8"/>
      </tp>
      <tp t="s">
        <v>CALL</v>
        <stp/>
        <stp>rtd-mysql</stp>
        <stp>option_day_history_yahoo</stp>
        <stp>AAPL150117C00500000</stp>
        <stp>41694</stp>
        <stp>Type</stp>
        <tr r="K4" s="8"/>
      </tp>
      <tp t="s">
        <v>PUT</v>
        <stp/>
        <stp>rtd-mysql</stp>
        <stp>option_day_history_yahoo</stp>
        <stp>AAPL150117P00500000</stp>
        <stp>41694</stp>
        <stp>Type</stp>
        <tr r="K6" s="8"/>
      </tp>
      <tp>
        <v>41695.187152777777</v>
        <stp/>
        <stp>rtd-mysql</stp>
        <stp>stocks_yahoo</stp>
        <stp>LNKD</stp>
        <stp>LastUpdateTimeStamp</stp>
        <tr r="J7" s="12"/>
      </tp>
      <tp>
        <v>41695.187152777777</v>
        <stp/>
        <stp>rtd-mysql</stp>
        <stp>quotes_yahoo</stp>
        <stp>LNKD</stp>
        <stp>LastUpdateTimeStamp</stp>
        <tr r="M7" s="11"/>
        <tr r="M7" s="1"/>
      </tp>
      <tp>
        <v>-5.3140000000000001</v>
        <stp/>
        <stp>rtd-mysql</stp>
        <stp>fundamentals_yahoo</stp>
        <stp>AAPL</stp>
        <stp>ChangeFromMA50</stp>
        <tr r="Y4" s="7"/>
      </tp>
      <tp>
        <v>200.85</v>
        <stp/>
        <stp>rtd-mysql</stp>
        <stp>fundamentals_day_history_yahoo</stp>
        <stp>GOOG</stp>
        <stp>41694</stp>
        <stp>ChangeFromMA200</stp>
        <tr r="Z6" s="6"/>
      </tp>
      <tp>
        <v>38.979999999999997</v>
        <stp/>
        <stp>rtd-mysql</stp>
        <stp>fundamentals_yahoo</stp>
        <stp>MSFT</stp>
        <stp>YearHigh</stp>
        <tr r="P8" s="7"/>
      </tp>
      <tp>
        <v>1.8</v>
        <stp/>
        <stp>rtd-mysql</stp>
        <stp>fundamentals_yahoo</stp>
        <stp>YHOO</stp>
        <stp>EPSEstNextYear</stp>
        <tr r="AI10" s="7"/>
      </tp>
      <tp>
        <v>-9.68</v>
        <stp/>
        <stp>rtd-mysql</stp>
        <stp>fundamentals_day_history_yahoo</stp>
        <stp>LNKD</stp>
        <stp>41694</stp>
        <stp>ChangeFromMA50</stp>
        <tr r="Y7" s="6"/>
      </tp>
      <tp t="s">
        <v>166.7M</v>
        <stp/>
        <stp>rtd-mysql</stp>
        <stp>fundamentals_day_history_yahoo</stp>
        <stp>LNKD</stp>
        <stp>41694</stp>
        <stp>EBITDA</stp>
        <tr r="AU7" s="6"/>
      </tp>
      <tp>
        <v>1.68</v>
        <stp/>
        <stp>rtd-mysql</stp>
        <stp>fundamentals_yahoo</stp>
        <stp>FB</stp>
        <stp>EPSEstNextYear</stp>
        <tr r="AI5" s="7"/>
      </tp>
      <tp>
        <v>41695.187152777777</v>
        <stp/>
        <stp>rtd-mysql</stp>
        <stp>stocks_yahoo</stp>
        <stp>GOOG</stp>
        <stp>LastUpdateTimeStamp</stp>
        <tr r="J6" s="12"/>
      </tp>
      <tp>
        <v>20.72</v>
        <stp/>
        <stp>rtd-mysql</stp>
        <stp>fundamentals_day_history_yahoo</stp>
        <stp>YHOO</stp>
        <stp>41694</stp>
        <stp>PriceEPSEstNextYear</stp>
        <tr r="AT10" s="6"/>
      </tp>
      <tp>
        <v>41695.187152777777</v>
        <stp/>
        <stp>rtd-mysql</stp>
        <stp>quotes_yahoo</stp>
        <stp>GOOG</stp>
        <stp>LastUpdateTimeStamp</stp>
        <tr r="M6" s="1"/>
        <tr r="M6" s="11"/>
      </tp>
      <tp t="s">
        <v>56.565B</v>
        <stp/>
        <stp>rtd-mysql</stp>
        <stp>fundamentals_yahoo</stp>
        <stp>AAPL</stp>
        <stp>EBITDA</stp>
        <tr r="AU4" s="7"/>
      </tp>
      <tp>
        <v>41695.187152777777</v>
        <stp/>
        <stp>rtd-mysql</stp>
        <stp>quote_day_history_yahoo</stp>
        <stp>FB</stp>
        <stp>41694</stp>
        <stp>LastUpdateTimeStamp</stp>
        <tr r="M5" s="10"/>
      </tp>
      <tp t="s">
        <v>22.67 - 70.11</v>
        <stp/>
        <stp>rtd-mysql</stp>
        <stp>fundamentals_day_history_yahoo</stp>
        <stp>FB</stp>
        <stp>41694</stp>
        <stp>YearRange</stp>
        <tr r="R5" s="6"/>
      </tp>
      <tp>
        <v>11.36</v>
        <stp/>
        <stp>rtd-mysql</stp>
        <stp>fundamentals_day_history_yahoo</stp>
        <stp>AAPL</stp>
        <stp>41694</stp>
        <stp>PriceEPSEstNextYear</stp>
        <tr r="AT4" s="6"/>
      </tp>
      <tp>
        <v>11.94</v>
        <stp/>
        <stp>rtd-mysql</stp>
        <stp>fundamentals_day_history_yahoo</stp>
        <stp>ORCL</stp>
        <stp>41694</stp>
        <stp>PriceEPSEstNextYear</stp>
        <tr r="AT9" s="6"/>
      </tp>
      <tp t="s">
        <v>AAPL</v>
        <stp/>
        <stp>rtd-mysql</stp>
        <stp>option_day_history_yahoo</stp>
        <stp>AAPL150117P00600000</stp>
        <stp>41694</stp>
        <stp>OptionSymbol</stp>
        <tr r="H7" s="8"/>
      </tp>
      <tp t="s">
        <v>AAPL</v>
        <stp/>
        <stp>rtd-mysql</stp>
        <stp>option_day_history_yahoo</stp>
        <stp>AAPL150117C00600000</stp>
        <stp>41694</stp>
        <stp>OptionSymbol</stp>
        <tr r="H5" s="8"/>
      </tp>
      <tp t="s">
        <v>AAPL</v>
        <stp/>
        <stp>rtd-mysql</stp>
        <stp>option_day_history_yahoo</stp>
        <stp>AAPL150117P00500000</stp>
        <stp>41694</stp>
        <stp>OptionSymbol</stp>
        <tr r="H6" s="8"/>
      </tp>
      <tp t="s">
        <v>AAPL</v>
        <stp/>
        <stp>rtd-mysql</stp>
        <stp>option_day_history_yahoo</stp>
        <stp>AAPL150117C00500000</stp>
        <stp>41694</stp>
        <stp>OptionSymbol</stp>
        <tr r="H4" s="8"/>
      </tp>
      <tp>
        <v>38218</v>
        <stp/>
        <stp>rtd-mysql</stp>
        <stp>stocks_yahoo</stp>
        <stp>GOOG</stp>
        <stp>TradeStart</stp>
        <tr r="H6" s="12"/>
      </tp>
      <tp>
        <v>46.22</v>
        <stp/>
        <stp>rtd-mysql</stp>
        <stp>fundamentals_day_history_yahoo</stp>
        <stp>AAPL</stp>
        <stp>41694</stp>
        <stp>EPSEstNextYear</stp>
        <tr r="AI4" s="6"/>
      </tp>
      <tp>
        <v>-27.350999999999999</v>
        <stp/>
        <stp>rtd-mysql</stp>
        <stp>fundamentals_day_history_yahoo</stp>
        <stp>LNKD</stp>
        <stp>41694</stp>
        <stp>ChangeFromMA200</stp>
        <tr r="Z7" s="6"/>
      </tp>
      <tp>
        <v>3.1928852602420198E-2</v>
        <stp/>
        <stp>rtd-mysql</stp>
        <stp>quote_day_history_yahoo</stp>
        <stp>FB</stp>
        <stp>41694</stp>
        <stp>PercentChange</stp>
        <tr r="H5" s="10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volatileDependencies" Target="volatileDependenci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adjustColumnWidth="0" connectionId="1" autoFormatId="16" applyNumberFormats="0" applyBorderFormats="0" applyFontFormats="1" applyPatternFormats="1" applyAlignmentFormats="0" applyWidthHeightFormats="0">
  <queryTableRefresh nextId="53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2.xml><?xml version="1.0" encoding="utf-8"?>
<queryTable xmlns="http://schemas.openxmlformats.org/spreadsheetml/2006/main" name="ExternalData_1" rowNumbers="1" adjustColumnWidth="0" connectionId="2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3.xml><?xml version="1.0" encoding="utf-8"?>
<queryTable xmlns="http://schemas.openxmlformats.org/spreadsheetml/2006/main" name="ExternalData_1" rowNumbers="1" adjustColumnWidth="0" connectionId="3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4.xml><?xml version="1.0" encoding="utf-8"?>
<queryTable xmlns="http://schemas.openxmlformats.org/spreadsheetml/2006/main" name="ExternalData_1" rowNumbers="1" adjustColumnWidth="0" connectionId="4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Symbol" tableColumnId="11"/>
      <queryTableField id="3" name="CompanyName" tableColumnId="12"/>
      <queryTableField id="4" name="Sector" tableColumnId="13"/>
      <queryTableField id="5" name="Industry" tableColumnId="14"/>
      <queryTableField id="6" name="FullTimeEmployees" tableColumnId="15"/>
      <queryTableField id="7" name="TradeStart" tableColumnId="16"/>
      <queryTableField id="8" name="TradeEnd" tableColumnId="17"/>
      <queryTableField id="9" name="LastUpdateTimeStamp" tableColumnId="18"/>
    </queryTableFields>
  </queryTableRefresh>
</queryTable>
</file>

<file path=xl/queryTables/queryTable5.xml><?xml version="1.0" encoding="utf-8"?>
<queryTable xmlns="http://schemas.openxmlformats.org/spreadsheetml/2006/main" name="ExternalData_1" rowNumbers="1" adjustColumnWidth="0" connectionId="5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LastTrade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6.xml><?xml version="1.0" encoding="utf-8"?>
<queryTable xmlns="http://schemas.openxmlformats.org/spreadsheetml/2006/main" name="ExternalData_1" rowNumbers="1" adjustColumnWidth="0" connectionId="6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7.xml><?xml version="1.0" encoding="utf-8"?>
<queryTable xmlns="http://schemas.openxmlformats.org/spreadsheetml/2006/main" name="ExternalData_1" rowNumbers="1" adjustColumnWidth="0" connectionId="7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queryTables/queryTable8.xml><?xml version="1.0" encoding="utf-8"?>
<queryTable xmlns="http://schemas.openxmlformats.org/spreadsheetml/2006/main" name="ExternalData_1" rowNumbers="1" adjustColumnWidth="0" connectionId="8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8" name="Data_Table1" displayName="Data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107"/>
    <tableColumn id="17" uniqueName="17" name="LastTradeTime" queryTableFieldId="4" dataDxfId="106"/>
    <tableColumn id="18" uniqueName="18" name="Last" queryTableFieldId="5" dataDxfId="105"/>
    <tableColumn id="19" uniqueName="19" name="Change" queryTableFieldId="6" dataDxfId="104"/>
    <tableColumn id="20" uniqueName="20" name="PercentChange" queryTableFieldId="7" dataDxfId="103"/>
    <tableColumn id="21" uniqueName="21" name="Open" queryTableFieldId="8" dataDxfId="102"/>
    <tableColumn id="22" uniqueName="22" name="High" queryTableFieldId="9" dataDxfId="101"/>
    <tableColumn id="23" uniqueName="23" name="Low" queryTableFieldId="10" dataDxfId="100"/>
    <tableColumn id="24" uniqueName="24" name="Volume" queryTableFieldId="11" dataDxfId="99"/>
    <tableColumn id="25" uniqueName="25" name="LastUpdateTimeStamp" queryTableFieldId="12" dataDxfId="98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9" name="QuotesYahoo_Table1" displayName="Quotes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97"/>
    <tableColumn id="17" uniqueName="17" name="LastTradeTime" queryTableFieldId="4" dataDxfId="96"/>
    <tableColumn id="18" uniqueName="18" name="Last" queryTableFieldId="5" dataDxfId="95"/>
    <tableColumn id="19" uniqueName="19" name="Change" queryTableFieldId="6" dataDxfId="94"/>
    <tableColumn id="20" uniqueName="20" name="PercentChange" queryTableFieldId="7" dataDxfId="93"/>
    <tableColumn id="21" uniqueName="21" name="Open" queryTableFieldId="8" dataDxfId="92"/>
    <tableColumn id="22" uniqueName="22" name="High" queryTableFieldId="9" dataDxfId="91"/>
    <tableColumn id="23" uniqueName="23" name="Low" queryTableFieldId="10" dataDxfId="90"/>
    <tableColumn id="24" uniqueName="24" name="Volume" queryTableFieldId="11" dataDxfId="89"/>
    <tableColumn id="25" uniqueName="25" name="LastUpdateTimeStamp" queryTableFieldId="12" dataDxfId="88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10" name="QuoteDayHistoryYahoo_Table1" displayName="QuoteDayHistory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Date" queryTableFieldId="3" dataDxfId="87"/>
    <tableColumn id="17" uniqueName="17" name="LastTradeTime" queryTableFieldId="4" dataDxfId="86"/>
    <tableColumn id="18" uniqueName="18" name="Last" queryTableFieldId="5" dataDxfId="85"/>
    <tableColumn id="19" uniqueName="19" name="Change" queryTableFieldId="6" dataDxfId="84"/>
    <tableColumn id="20" uniqueName="20" name="PercentChange" queryTableFieldId="7" dataDxfId="83"/>
    <tableColumn id="21" uniqueName="21" name="Open" queryTableFieldId="8" dataDxfId="82"/>
    <tableColumn id="22" uniqueName="22" name="High" queryTableFieldId="9" dataDxfId="81"/>
    <tableColumn id="23" uniqueName="23" name="Low" queryTableFieldId="10" dataDxfId="80"/>
    <tableColumn id="24" uniqueName="24" name="Volume" queryTableFieldId="11" dataDxfId="79"/>
    <tableColumn id="25" uniqueName="25" name="LastUpdateTimeStamp" queryTableFieldId="12" dataDxfId="78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11" name="StocksYahoo_Table1" displayName="StocksYahoo_Table1" ref="B3:J10" tableType="queryTable" totalsRowShown="0">
  <autoFilter ref="B3:J10"/>
  <tableColumns count="9">
    <tableColumn id="10" uniqueName="10" name="_RowNum" queryTableFieldId="1"/>
    <tableColumn id="11" uniqueName="11" name="Symbol" queryTableFieldId="2"/>
    <tableColumn id="12" uniqueName="12" name="CompanyName" queryTableFieldId="3"/>
    <tableColumn id="13" uniqueName="13" name="Sector" queryTableFieldId="4"/>
    <tableColumn id="14" uniqueName="14" name="Industry" queryTableFieldId="5"/>
    <tableColumn id="15" uniqueName="15" name="FullTimeEmployees" queryTableFieldId="6" dataDxfId="77"/>
    <tableColumn id="16" uniqueName="16" name="TradeStart" queryTableFieldId="7" dataDxfId="76"/>
    <tableColumn id="17" uniqueName="17" name="TradeEnd" queryTableFieldId="8" dataDxfId="75"/>
    <tableColumn id="18" uniqueName="18" name="LastUpdateTimeStamp" queryTableFieldId="9" dataDxfId="7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12" name="FundamentalsYahoo_Table1" displayName="Fundamentals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LastTradeDate" queryTableFieldId="3" dataDxfId="73"/>
    <tableColumn id="56" uniqueName="56" name="LastTradeTime" queryTableFieldId="4" dataDxfId="72"/>
    <tableColumn id="57" uniqueName="57" name="Last" queryTableFieldId="5" dataDxfId="71"/>
    <tableColumn id="58" uniqueName="58" name="Change" queryTableFieldId="6" dataDxfId="70"/>
    <tableColumn id="59" uniqueName="59" name="PercentChange" queryTableFieldId="7" dataDxfId="69"/>
    <tableColumn id="60" uniqueName="60" name="Open" queryTableFieldId="8" dataDxfId="68"/>
    <tableColumn id="61" uniqueName="61" name="High" queryTableFieldId="9" dataDxfId="67"/>
    <tableColumn id="62" uniqueName="62" name="Low" queryTableFieldId="10" dataDxfId="66"/>
    <tableColumn id="63" uniqueName="63" name="Volume" queryTableFieldId="11" dataDxfId="65"/>
    <tableColumn id="64" uniqueName="64" name="DaysRange" queryTableFieldId="12"/>
    <tableColumn id="65" uniqueName="65" name="PrevClose" queryTableFieldId="13" dataDxfId="64"/>
    <tableColumn id="66" uniqueName="66" name="ShortRatio" queryTableFieldId="14"/>
    <tableColumn id="67" uniqueName="67" name="YearHigh" queryTableFieldId="15" dataDxfId="63"/>
    <tableColumn id="68" uniqueName="68" name="YearLow" queryTableFieldId="16" dataDxfId="62"/>
    <tableColumn id="69" uniqueName="69" name="YearRange" queryTableFieldId="17"/>
    <tableColumn id="70" uniqueName="70" name="ChangeFromYearHigh" queryTableFieldId="18" dataDxfId="61"/>
    <tableColumn id="71" uniqueName="71" name="ChangeFromYearLow" queryTableFieldId="19" dataDxfId="60"/>
    <tableColumn id="72" uniqueName="72" name="PercentChangeFromYearHigh" queryTableFieldId="20" dataDxfId="59"/>
    <tableColumn id="73" uniqueName="73" name="PercentChangeFromYearLow" queryTableFieldId="21" dataDxfId="58"/>
    <tableColumn id="74" uniqueName="74" name="MA50" queryTableFieldId="22" dataDxfId="57"/>
    <tableColumn id="75" uniqueName="75" name="MA200" queryTableFieldId="23" dataDxfId="56"/>
    <tableColumn id="76" uniqueName="76" name="ChangeFromMA50" queryTableFieldId="24" dataDxfId="55"/>
    <tableColumn id="77" uniqueName="77" name="ChangeFromMA200" queryTableFieldId="25" dataDxfId="54"/>
    <tableColumn id="78" uniqueName="78" name="PercentChangeFromMA50" queryTableFieldId="26" dataDxfId="53"/>
    <tableColumn id="79" uniqueName="79" name="PercentChangeFromMA200" queryTableFieldId="27" dataDxfId="52"/>
    <tableColumn id="80" uniqueName="80" name="AverageDailyVolume" queryTableFieldId="28" dataDxfId="51"/>
    <tableColumn id="81" uniqueName="81" name="OneYearTargetPrice" queryTableFieldId="29" dataDxfId="50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49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13" name="FundamentalsDayHistoryYahoo_Table1" displayName="FundamentalsDayHistory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Date" queryTableFieldId="3" dataDxfId="48"/>
    <tableColumn id="56" uniqueName="56" name="LastTradeTime" queryTableFieldId="4" dataDxfId="47"/>
    <tableColumn id="57" uniqueName="57" name="Last" queryTableFieldId="5" dataDxfId="46"/>
    <tableColumn id="58" uniqueName="58" name="Change" queryTableFieldId="6" dataDxfId="45"/>
    <tableColumn id="59" uniqueName="59" name="PercentChange" queryTableFieldId="7" dataDxfId="44"/>
    <tableColumn id="60" uniqueName="60" name="Open" queryTableFieldId="8" dataDxfId="43"/>
    <tableColumn id="61" uniqueName="61" name="High" queryTableFieldId="9" dataDxfId="42"/>
    <tableColumn id="62" uniqueName="62" name="Low" queryTableFieldId="10" dataDxfId="41"/>
    <tableColumn id="63" uniqueName="63" name="Volume" queryTableFieldId="11" dataDxfId="40"/>
    <tableColumn id="64" uniqueName="64" name="DaysRange" queryTableFieldId="12"/>
    <tableColumn id="65" uniqueName="65" name="PrevClose" queryTableFieldId="13" dataDxfId="39"/>
    <tableColumn id="66" uniqueName="66" name="ShortRatio" queryTableFieldId="14"/>
    <tableColumn id="67" uniqueName="67" name="YearHigh" queryTableFieldId="15" dataDxfId="38"/>
    <tableColumn id="68" uniqueName="68" name="YearLow" queryTableFieldId="16" dataDxfId="37"/>
    <tableColumn id="69" uniqueName="69" name="YearRange" queryTableFieldId="17"/>
    <tableColumn id="70" uniqueName="70" name="ChangeFromYearHigh" queryTableFieldId="18" dataDxfId="36"/>
    <tableColumn id="71" uniqueName="71" name="ChangeFromYearLow" queryTableFieldId="19" dataDxfId="35"/>
    <tableColumn id="72" uniqueName="72" name="PercentChangeFromYearHigh" queryTableFieldId="20" dataDxfId="34"/>
    <tableColumn id="73" uniqueName="73" name="PercentChangeFromYearLow" queryTableFieldId="21" dataDxfId="33"/>
    <tableColumn id="74" uniqueName="74" name="MA50" queryTableFieldId="22" dataDxfId="32"/>
    <tableColumn id="75" uniqueName="75" name="MA200" queryTableFieldId="23" dataDxfId="31"/>
    <tableColumn id="76" uniqueName="76" name="ChangeFromMA50" queryTableFieldId="24" dataDxfId="30"/>
    <tableColumn id="77" uniqueName="77" name="ChangeFromMA200" queryTableFieldId="25" dataDxfId="29"/>
    <tableColumn id="78" uniqueName="78" name="PercentChangeFromMA50" queryTableFieldId="26" dataDxfId="28"/>
    <tableColumn id="79" uniqueName="79" name="PercentChangeFromMA200" queryTableFieldId="27" dataDxfId="27"/>
    <tableColumn id="80" uniqueName="80" name="AverageDailyVolume" queryTableFieldId="28" dataDxfId="26"/>
    <tableColumn id="81" uniqueName="81" name="OneYearTargetPrice" queryTableFieldId="29" dataDxfId="25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24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4" name="OptionsYahoo_Table1" displayName="OptionsYahoo_Table1" ref="B3:U7" tableType="queryTable" totalsRowShown="0">
  <autoFilter ref="B3:U7"/>
  <tableColumns count="20">
    <tableColumn id="21" uniqueName="21" name="_RowNum" queryTableFieldId="1"/>
    <tableColumn id="22" uniqueName="22" name="Code" queryTableFieldId="2"/>
    <tableColumn id="23" uniqueName="23" name="Date" queryTableFieldId="3" dataDxfId="23"/>
    <tableColumn id="24" uniqueName="24" name="Time" queryTableFieldId="4" dataDxfId="22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21"/>
    <tableColumn id="29" uniqueName="29" name="Strike" queryTableFieldId="9"/>
    <tableColumn id="30" uniqueName="30" name="Type" queryTableFieldId="10"/>
    <tableColumn id="31" uniqueName="31" name="Last" queryTableFieldId="11" dataDxfId="20"/>
    <tableColumn id="32" uniqueName="32" name="Change" queryTableFieldId="12" dataDxfId="19"/>
    <tableColumn id="33" uniqueName="33" name="PercentChange" queryTableFieldId="13" dataDxfId="18"/>
    <tableColumn id="34" uniqueName="34" name="Mark" queryTableFieldId="14" dataDxfId="17"/>
    <tableColumn id="35" uniqueName="35" name="Bid" queryTableFieldId="15" dataDxfId="16"/>
    <tableColumn id="36" uniqueName="36" name="Ask" queryTableFieldId="16" dataDxfId="15"/>
    <tableColumn id="37" uniqueName="37" name="Volume" queryTableFieldId="17" dataDxfId="14"/>
    <tableColumn id="38" uniqueName="38" name="OpenInt" queryTableFieldId="18" dataDxfId="13"/>
    <tableColumn id="39" uniqueName="39" name="LastUpdateTimeStamp" queryTableFieldId="19" dataDxfId="12"/>
    <tableColumn id="40" uniqueName="40" name="RTD_LastMessage" queryTableFieldId="2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15" name="OptionDayHistoryYahoo_Table1" displayName="OptionDayHistoryYahoo_Table1" ref="B3:U7" tableType="queryTable" totalsRowShown="0">
  <autoFilter ref="B3:U7"/>
  <tableColumns count="20">
    <tableColumn id="21" uniqueName="21" name="_RowNum" queryTableFieldId="1"/>
    <tableColumn id="22" uniqueName="22" name="Code" queryTableFieldId="2"/>
    <tableColumn id="23" uniqueName="23" name="Date" queryTableFieldId="3" dataDxfId="11"/>
    <tableColumn id="24" uniqueName="24" name="Time" queryTableFieldId="4" dataDxfId="10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9"/>
    <tableColumn id="29" uniqueName="29" name="Strike" queryTableFieldId="9"/>
    <tableColumn id="30" uniqueName="30" name="Type" queryTableFieldId="10"/>
    <tableColumn id="31" uniqueName="31" name="Last" queryTableFieldId="11" dataDxfId="8"/>
    <tableColumn id="32" uniqueName="32" name="Change" queryTableFieldId="12" dataDxfId="7"/>
    <tableColumn id="33" uniqueName="33" name="PercentChange" queryTableFieldId="13" dataDxfId="6"/>
    <tableColumn id="34" uniqueName="34" name="Mark" queryTableFieldId="14" dataDxfId="5"/>
    <tableColumn id="35" uniqueName="35" name="Bid" queryTableFieldId="15" dataDxfId="4"/>
    <tableColumn id="36" uniqueName="36" name="Ask" queryTableFieldId="16" dataDxfId="3"/>
    <tableColumn id="37" uniqueName="37" name="Volume" queryTableFieldId="17" dataDxfId="2"/>
    <tableColumn id="38" uniqueName="38" name="OpenInt" queryTableFieldId="18" dataDxfId="1"/>
    <tableColumn id="39" uniqueName="39" name="LastUpdateTimeStamp" queryTableFieldId="19" dataDxfId="0"/>
    <tableColumn id="40" uniqueName="40" name="RTD_LastMessage" queryTableFieldId="2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tabSelected="1" workbookViewId="0">
      <selection activeCell="B2" sqref="B2"/>
    </sheetView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519</v>
      </c>
    </row>
    <row r="4" spans="2:2" x14ac:dyDescent="0.25">
      <c r="B4" t="s">
        <v>164</v>
      </c>
    </row>
    <row r="6" spans="2:2" x14ac:dyDescent="0.25">
      <c r="B6" t="s">
        <v>567</v>
      </c>
    </row>
    <row r="7" spans="2:2" x14ac:dyDescent="0.25">
      <c r="B7" t="s">
        <v>204</v>
      </c>
    </row>
    <row r="9" spans="2:2" x14ac:dyDescent="0.25">
      <c r="B9" t="s">
        <v>206</v>
      </c>
    </row>
    <row r="10" spans="2:2" x14ac:dyDescent="0.25">
      <c r="B10" t="s">
        <v>205</v>
      </c>
    </row>
    <row r="12" spans="2:2" x14ac:dyDescent="0.25">
      <c r="B12" t="s">
        <v>217</v>
      </c>
    </row>
    <row r="13" spans="2:2" x14ac:dyDescent="0.25">
      <c r="B13" t="s">
        <v>218</v>
      </c>
    </row>
    <row r="14" spans="2:2" x14ac:dyDescent="0.25">
      <c r="B14" t="s">
        <v>207</v>
      </c>
    </row>
    <row r="16" spans="2:2" x14ac:dyDescent="0.25">
      <c r="B16" t="s">
        <v>216</v>
      </c>
    </row>
    <row r="18" spans="2:2" x14ac:dyDescent="0.25">
      <c r="B18" t="s">
        <v>520</v>
      </c>
    </row>
    <row r="21" spans="2:2" x14ac:dyDescent="0.25">
      <c r="B21" t="s">
        <v>215</v>
      </c>
    </row>
    <row r="23" spans="2:2" x14ac:dyDescent="0.25">
      <c r="B23" t="s">
        <v>208</v>
      </c>
    </row>
    <row r="24" spans="2:2" x14ac:dyDescent="0.25">
      <c r="B24" t="s">
        <v>209</v>
      </c>
    </row>
    <row r="26" spans="2:2" x14ac:dyDescent="0.25">
      <c r="B26" t="s">
        <v>210</v>
      </c>
    </row>
    <row r="27" spans="2:2" x14ac:dyDescent="0.25">
      <c r="B27" t="s">
        <v>211</v>
      </c>
    </row>
    <row r="29" spans="2:2" x14ac:dyDescent="0.25">
      <c r="B29" t="s">
        <v>212</v>
      </c>
    </row>
    <row r="30" spans="2:2" x14ac:dyDescent="0.25">
      <c r="B30" t="s">
        <v>213</v>
      </c>
    </row>
    <row r="31" spans="2:2" x14ac:dyDescent="0.25">
      <c r="B31" t="s">
        <v>214</v>
      </c>
    </row>
    <row r="33" spans="2:2" x14ac:dyDescent="0.25">
      <c r="B33" t="s">
        <v>219</v>
      </c>
    </row>
    <row r="35" spans="2:2" ht="15.75" x14ac:dyDescent="0.25">
      <c r="B35" s="13" t="s">
        <v>561</v>
      </c>
    </row>
    <row r="37" spans="2:2" x14ac:dyDescent="0.25">
      <c r="B37" s="2" t="s">
        <v>562</v>
      </c>
    </row>
    <row r="38" spans="2:2" x14ac:dyDescent="0.25">
      <c r="B38" s="2" t="s">
        <v>563</v>
      </c>
    </row>
    <row r="39" spans="2:2" x14ac:dyDescent="0.25">
      <c r="B39" s="2" t="s">
        <v>564</v>
      </c>
    </row>
    <row r="41" spans="2:2" x14ac:dyDescent="0.25">
      <c r="B41" s="2" t="s">
        <v>565</v>
      </c>
    </row>
    <row r="42" spans="2:2" x14ac:dyDescent="0.25">
      <c r="B42" s="2" t="s">
        <v>566</v>
      </c>
    </row>
    <row r="45" spans="2:2" x14ac:dyDescent="0.25">
      <c r="B45" s="4" t="s">
        <v>165</v>
      </c>
    </row>
  </sheetData>
  <hyperlinks>
    <hyperlink ref="B45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1356"/>
  <sheetViews>
    <sheetView workbookViewId="0">
      <pane ySplit="1" topLeftCell="A1326" activePane="bottomLeft" state="frozenSplit"/>
      <selection pane="bottomLeft" activeCell="B1350" sqref="B1350"/>
    </sheetView>
  </sheetViews>
  <sheetFormatPr defaultRowHeight="15" x14ac:dyDescent="0.25"/>
  <cols>
    <col min="1" max="1" width="39.42578125" customWidth="1"/>
    <col min="2" max="2" width="25" customWidth="1"/>
    <col min="3" max="3" width="17.7109375" customWidth="1"/>
    <col min="4" max="4" width="48.42578125" customWidth="1"/>
  </cols>
  <sheetData>
    <row r="1" spans="1:3" x14ac:dyDescent="0.25">
      <c r="A1" s="1" t="s">
        <v>8</v>
      </c>
    </row>
    <row r="2" spans="1:3" x14ac:dyDescent="0.25">
      <c r="A2" t="s">
        <v>252</v>
      </c>
    </row>
    <row r="3" spans="1:3" x14ac:dyDescent="0.25">
      <c r="A3" s="2" t="s">
        <v>32</v>
      </c>
      <c r="B3" t="s">
        <v>33</v>
      </c>
      <c r="C3" s="2" t="s">
        <v>178</v>
      </c>
    </row>
    <row r="4" spans="1:3" x14ac:dyDescent="0.25">
      <c r="A4" s="2" t="s">
        <v>32</v>
      </c>
      <c r="B4" t="s">
        <v>34</v>
      </c>
      <c r="C4" t="b">
        <v>0</v>
      </c>
    </row>
    <row r="5" spans="1:3" x14ac:dyDescent="0.25">
      <c r="A5" s="2" t="s">
        <v>32</v>
      </c>
      <c r="B5" t="s">
        <v>35</v>
      </c>
      <c r="C5" s="2" t="s">
        <v>75</v>
      </c>
    </row>
    <row r="6" spans="1:3" x14ac:dyDescent="0.25">
      <c r="A6" s="2" t="s">
        <v>32</v>
      </c>
      <c r="B6" t="s">
        <v>36</v>
      </c>
      <c r="C6" t="b">
        <v>0</v>
      </c>
    </row>
    <row r="7" spans="1:3" x14ac:dyDescent="0.25">
      <c r="A7" s="2" t="s">
        <v>32</v>
      </c>
      <c r="B7" t="s">
        <v>37</v>
      </c>
      <c r="C7" t="b">
        <v>0</v>
      </c>
    </row>
    <row r="8" spans="1:3" x14ac:dyDescent="0.25">
      <c r="A8" s="2" t="s">
        <v>32</v>
      </c>
      <c r="B8" t="s">
        <v>38</v>
      </c>
      <c r="C8" t="b">
        <v>0</v>
      </c>
    </row>
    <row r="9" spans="1:3" x14ac:dyDescent="0.25">
      <c r="A9" s="2" t="s">
        <v>32</v>
      </c>
      <c r="B9" t="s">
        <v>39</v>
      </c>
      <c r="C9" t="b">
        <v>0</v>
      </c>
    </row>
    <row r="10" spans="1:3" x14ac:dyDescent="0.25">
      <c r="A10" s="2" t="s">
        <v>9</v>
      </c>
      <c r="B10" t="s">
        <v>40</v>
      </c>
      <c r="C10" t="b">
        <v>1</v>
      </c>
    </row>
    <row r="11" spans="1:3" x14ac:dyDescent="0.25">
      <c r="A11" s="2" t="s">
        <v>9</v>
      </c>
      <c r="B11" t="s">
        <v>41</v>
      </c>
      <c r="C11" s="2" t="s">
        <v>42</v>
      </c>
    </row>
    <row r="12" spans="1:3" x14ac:dyDescent="0.25">
      <c r="A12" s="2" t="s">
        <v>14</v>
      </c>
      <c r="B12" t="s">
        <v>40</v>
      </c>
      <c r="C12" t="b">
        <v>0</v>
      </c>
    </row>
    <row r="13" spans="1:3" x14ac:dyDescent="0.25">
      <c r="A13" s="2" t="s">
        <v>14</v>
      </c>
      <c r="B13" t="s">
        <v>41</v>
      </c>
      <c r="C13" s="2" t="s">
        <v>43</v>
      </c>
    </row>
    <row r="14" spans="1:3" x14ac:dyDescent="0.25">
      <c r="A14" s="2" t="s">
        <v>14</v>
      </c>
      <c r="B14" t="s">
        <v>44</v>
      </c>
      <c r="C14">
        <v>9.14</v>
      </c>
    </row>
    <row r="15" spans="1:3" x14ac:dyDescent="0.25">
      <c r="A15" s="2" t="s">
        <v>70</v>
      </c>
      <c r="B15" t="s">
        <v>40</v>
      </c>
      <c r="C15" t="b">
        <v>0</v>
      </c>
    </row>
    <row r="16" spans="1:3" x14ac:dyDescent="0.25">
      <c r="A16" s="2" t="s">
        <v>70</v>
      </c>
      <c r="B16" t="s">
        <v>41</v>
      </c>
      <c r="C16" s="2" t="s">
        <v>45</v>
      </c>
    </row>
    <row r="17" spans="1:3" x14ac:dyDescent="0.25">
      <c r="A17" s="2" t="s">
        <v>70</v>
      </c>
      <c r="B17" t="s">
        <v>76</v>
      </c>
      <c r="C17" s="2" t="s">
        <v>254</v>
      </c>
    </row>
    <row r="18" spans="1:3" x14ac:dyDescent="0.25">
      <c r="A18" s="2" t="s">
        <v>70</v>
      </c>
      <c r="B18" t="s">
        <v>44</v>
      </c>
      <c r="C18">
        <v>9.43</v>
      </c>
    </row>
    <row r="19" spans="1:3" x14ac:dyDescent="0.25">
      <c r="A19" s="2" t="s">
        <v>70</v>
      </c>
      <c r="B19" t="s">
        <v>77</v>
      </c>
      <c r="C19" s="2" t="s">
        <v>78</v>
      </c>
    </row>
    <row r="20" spans="1:3" x14ac:dyDescent="0.25">
      <c r="A20" s="2" t="s">
        <v>71</v>
      </c>
      <c r="B20" t="s">
        <v>40</v>
      </c>
      <c r="C20" t="b">
        <v>0</v>
      </c>
    </row>
    <row r="21" spans="1:3" x14ac:dyDescent="0.25">
      <c r="A21" s="2" t="s">
        <v>71</v>
      </c>
      <c r="B21" t="s">
        <v>41</v>
      </c>
      <c r="C21" s="2" t="s">
        <v>46</v>
      </c>
    </row>
    <row r="22" spans="1:3" x14ac:dyDescent="0.25">
      <c r="A22" s="2" t="s">
        <v>71</v>
      </c>
      <c r="B22" t="s">
        <v>76</v>
      </c>
      <c r="C22" s="2" t="s">
        <v>255</v>
      </c>
    </row>
    <row r="23" spans="1:3" x14ac:dyDescent="0.25">
      <c r="A23" s="2" t="s">
        <v>71</v>
      </c>
      <c r="B23" t="s">
        <v>44</v>
      </c>
      <c r="C23">
        <v>15.57</v>
      </c>
    </row>
    <row r="24" spans="1:3" x14ac:dyDescent="0.25">
      <c r="A24" s="2" t="s">
        <v>71</v>
      </c>
      <c r="B24" t="s">
        <v>77</v>
      </c>
      <c r="C24" s="2" t="s">
        <v>79</v>
      </c>
    </row>
    <row r="25" spans="1:3" x14ac:dyDescent="0.25">
      <c r="A25" s="2" t="s">
        <v>19</v>
      </c>
      <c r="B25" t="s">
        <v>40</v>
      </c>
      <c r="C25" t="b">
        <v>0</v>
      </c>
    </row>
    <row r="26" spans="1:3" x14ac:dyDescent="0.25">
      <c r="A26" s="2" t="s">
        <v>19</v>
      </c>
      <c r="B26" t="s">
        <v>41</v>
      </c>
      <c r="C26" s="2" t="s">
        <v>47</v>
      </c>
    </row>
    <row r="27" spans="1:3" x14ac:dyDescent="0.25">
      <c r="A27" s="2" t="s">
        <v>19</v>
      </c>
      <c r="B27" t="s">
        <v>76</v>
      </c>
      <c r="C27" s="2" t="s">
        <v>256</v>
      </c>
    </row>
    <row r="28" spans="1:3" x14ac:dyDescent="0.25">
      <c r="A28" s="2" t="s">
        <v>19</v>
      </c>
      <c r="B28" t="s">
        <v>44</v>
      </c>
      <c r="C28">
        <v>9.43</v>
      </c>
    </row>
    <row r="29" spans="1:3" x14ac:dyDescent="0.25">
      <c r="A29" s="2" t="s">
        <v>19</v>
      </c>
      <c r="B29" t="s">
        <v>77</v>
      </c>
      <c r="C29" s="2" t="s">
        <v>180</v>
      </c>
    </row>
    <row r="30" spans="1:3" x14ac:dyDescent="0.25">
      <c r="A30" s="2" t="s">
        <v>20</v>
      </c>
      <c r="B30" t="s">
        <v>40</v>
      </c>
      <c r="C30" t="b">
        <v>0</v>
      </c>
    </row>
    <row r="31" spans="1:3" x14ac:dyDescent="0.25">
      <c r="A31" s="2" t="s">
        <v>20</v>
      </c>
      <c r="B31" t="s">
        <v>41</v>
      </c>
      <c r="C31" s="2" t="s">
        <v>48</v>
      </c>
    </row>
    <row r="32" spans="1:3" x14ac:dyDescent="0.25">
      <c r="A32" s="2" t="s">
        <v>20</v>
      </c>
      <c r="B32" t="s">
        <v>76</v>
      </c>
      <c r="C32" s="2" t="s">
        <v>257</v>
      </c>
    </row>
    <row r="33" spans="1:3" x14ac:dyDescent="0.25">
      <c r="A33" s="2" t="s">
        <v>20</v>
      </c>
      <c r="B33" t="s">
        <v>44</v>
      </c>
      <c r="C33">
        <v>9.14</v>
      </c>
    </row>
    <row r="34" spans="1:3" x14ac:dyDescent="0.25">
      <c r="A34" s="2" t="s">
        <v>20</v>
      </c>
      <c r="B34" t="s">
        <v>77</v>
      </c>
      <c r="C34" s="2" t="s">
        <v>181</v>
      </c>
    </row>
    <row r="35" spans="1:3" x14ac:dyDescent="0.25">
      <c r="A35" s="2" t="s">
        <v>21</v>
      </c>
      <c r="B35" t="s">
        <v>40</v>
      </c>
      <c r="C35" t="b">
        <v>0</v>
      </c>
    </row>
    <row r="36" spans="1:3" x14ac:dyDescent="0.25">
      <c r="A36" s="2" t="s">
        <v>21</v>
      </c>
      <c r="B36" t="s">
        <v>41</v>
      </c>
      <c r="C36" s="2" t="s">
        <v>49</v>
      </c>
    </row>
    <row r="37" spans="1:3" x14ac:dyDescent="0.25">
      <c r="A37" s="2" t="s">
        <v>21</v>
      </c>
      <c r="B37" t="s">
        <v>76</v>
      </c>
      <c r="C37" s="2" t="s">
        <v>258</v>
      </c>
    </row>
    <row r="38" spans="1:3" x14ac:dyDescent="0.25">
      <c r="A38" s="2" t="s">
        <v>21</v>
      </c>
      <c r="B38" t="s">
        <v>44</v>
      </c>
      <c r="C38">
        <v>13.86</v>
      </c>
    </row>
    <row r="39" spans="1:3" x14ac:dyDescent="0.25">
      <c r="A39" s="2" t="s">
        <v>21</v>
      </c>
      <c r="B39" t="s">
        <v>77</v>
      </c>
      <c r="C39" s="2" t="s">
        <v>151</v>
      </c>
    </row>
    <row r="40" spans="1:3" x14ac:dyDescent="0.25">
      <c r="A40" s="2" t="s">
        <v>72</v>
      </c>
      <c r="B40" t="s">
        <v>40</v>
      </c>
      <c r="C40" t="b">
        <v>0</v>
      </c>
    </row>
    <row r="41" spans="1:3" x14ac:dyDescent="0.25">
      <c r="A41" s="2" t="s">
        <v>72</v>
      </c>
      <c r="B41" t="s">
        <v>41</v>
      </c>
      <c r="C41" s="2" t="s">
        <v>50</v>
      </c>
    </row>
    <row r="42" spans="1:3" x14ac:dyDescent="0.25">
      <c r="A42" s="2" t="s">
        <v>72</v>
      </c>
      <c r="B42" t="s">
        <v>76</v>
      </c>
      <c r="C42" s="2" t="s">
        <v>259</v>
      </c>
    </row>
    <row r="43" spans="1:3" x14ac:dyDescent="0.25">
      <c r="A43" s="2" t="s">
        <v>72</v>
      </c>
      <c r="B43" t="s">
        <v>44</v>
      </c>
      <c r="C43">
        <v>9.43</v>
      </c>
    </row>
    <row r="44" spans="1:3" x14ac:dyDescent="0.25">
      <c r="A44" s="2" t="s">
        <v>72</v>
      </c>
      <c r="B44" t="s">
        <v>77</v>
      </c>
      <c r="C44" s="2" t="s">
        <v>180</v>
      </c>
    </row>
    <row r="45" spans="1:3" x14ac:dyDescent="0.25">
      <c r="A45" s="2" t="s">
        <v>73</v>
      </c>
      <c r="B45" t="s">
        <v>40</v>
      </c>
      <c r="C45" t="b">
        <v>0</v>
      </c>
    </row>
    <row r="46" spans="1:3" x14ac:dyDescent="0.25">
      <c r="A46" s="2" t="s">
        <v>73</v>
      </c>
      <c r="B46" t="s">
        <v>41</v>
      </c>
      <c r="C46" s="2" t="s">
        <v>51</v>
      </c>
    </row>
    <row r="47" spans="1:3" x14ac:dyDescent="0.25">
      <c r="A47" s="2" t="s">
        <v>73</v>
      </c>
      <c r="B47" t="s">
        <v>76</v>
      </c>
      <c r="C47" s="2" t="s">
        <v>260</v>
      </c>
    </row>
    <row r="48" spans="1:3" x14ac:dyDescent="0.25">
      <c r="A48" s="2" t="s">
        <v>73</v>
      </c>
      <c r="B48" t="s">
        <v>44</v>
      </c>
      <c r="C48">
        <v>9.43</v>
      </c>
    </row>
    <row r="49" spans="1:3" x14ac:dyDescent="0.25">
      <c r="A49" s="2" t="s">
        <v>73</v>
      </c>
      <c r="B49" t="s">
        <v>77</v>
      </c>
      <c r="C49" s="2" t="s">
        <v>180</v>
      </c>
    </row>
    <row r="50" spans="1:3" x14ac:dyDescent="0.25">
      <c r="A50" s="2" t="s">
        <v>74</v>
      </c>
      <c r="B50" t="s">
        <v>40</v>
      </c>
      <c r="C50" t="b">
        <v>0</v>
      </c>
    </row>
    <row r="51" spans="1:3" x14ac:dyDescent="0.25">
      <c r="A51" s="2" t="s">
        <v>74</v>
      </c>
      <c r="B51" t="s">
        <v>41</v>
      </c>
      <c r="C51" s="2" t="s">
        <v>52</v>
      </c>
    </row>
    <row r="52" spans="1:3" x14ac:dyDescent="0.25">
      <c r="A52" s="2" t="s">
        <v>74</v>
      </c>
      <c r="B52" t="s">
        <v>76</v>
      </c>
      <c r="C52" s="2" t="s">
        <v>261</v>
      </c>
    </row>
    <row r="53" spans="1:3" x14ac:dyDescent="0.25">
      <c r="A53" s="2" t="s">
        <v>74</v>
      </c>
      <c r="B53" t="s">
        <v>44</v>
      </c>
      <c r="C53">
        <v>9.43</v>
      </c>
    </row>
    <row r="54" spans="1:3" x14ac:dyDescent="0.25">
      <c r="A54" s="2" t="s">
        <v>74</v>
      </c>
      <c r="B54" t="s">
        <v>77</v>
      </c>
      <c r="C54" s="2" t="s">
        <v>180</v>
      </c>
    </row>
    <row r="55" spans="1:3" x14ac:dyDescent="0.25">
      <c r="A55" s="2" t="s">
        <v>25</v>
      </c>
      <c r="B55" t="s">
        <v>40</v>
      </c>
      <c r="C55" t="b">
        <v>0</v>
      </c>
    </row>
    <row r="56" spans="1:3" x14ac:dyDescent="0.25">
      <c r="A56" s="2" t="s">
        <v>25</v>
      </c>
      <c r="B56" t="s">
        <v>41</v>
      </c>
      <c r="C56" s="2" t="s">
        <v>53</v>
      </c>
    </row>
    <row r="57" spans="1:3" x14ac:dyDescent="0.25">
      <c r="A57" s="2" t="s">
        <v>25</v>
      </c>
      <c r="B57" t="s">
        <v>76</v>
      </c>
      <c r="C57" s="2" t="s">
        <v>262</v>
      </c>
    </row>
    <row r="58" spans="1:3" x14ac:dyDescent="0.25">
      <c r="A58" s="2" t="s">
        <v>25</v>
      </c>
      <c r="B58" t="s">
        <v>44</v>
      </c>
      <c r="C58">
        <v>10</v>
      </c>
    </row>
    <row r="59" spans="1:3" x14ac:dyDescent="0.25">
      <c r="A59" s="2" t="s">
        <v>25</v>
      </c>
      <c r="B59" t="s">
        <v>77</v>
      </c>
      <c r="C59" s="2" t="s">
        <v>182</v>
      </c>
    </row>
    <row r="60" spans="1:3" x14ac:dyDescent="0.25">
      <c r="A60" s="2" t="s">
        <v>27</v>
      </c>
      <c r="B60" t="s">
        <v>40</v>
      </c>
      <c r="C60" t="b">
        <v>0</v>
      </c>
    </row>
    <row r="61" spans="1:3" x14ac:dyDescent="0.25">
      <c r="A61" s="2" t="s">
        <v>27</v>
      </c>
      <c r="B61" t="s">
        <v>41</v>
      </c>
      <c r="C61" s="2" t="s">
        <v>54</v>
      </c>
    </row>
    <row r="62" spans="1:3" x14ac:dyDescent="0.25">
      <c r="A62" s="2" t="s">
        <v>27</v>
      </c>
      <c r="B62" t="s">
        <v>76</v>
      </c>
      <c r="C62" s="2" t="s">
        <v>263</v>
      </c>
    </row>
    <row r="63" spans="1:3" x14ac:dyDescent="0.25">
      <c r="A63" s="2" t="s">
        <v>27</v>
      </c>
      <c r="B63" t="s">
        <v>44</v>
      </c>
      <c r="C63">
        <v>20.71</v>
      </c>
    </row>
    <row r="64" spans="1:3" x14ac:dyDescent="0.25">
      <c r="A64" s="2" t="s">
        <v>27</v>
      </c>
      <c r="B64" t="s">
        <v>77</v>
      </c>
      <c r="C64" s="2" t="s">
        <v>79</v>
      </c>
    </row>
    <row r="65" spans="1:3" x14ac:dyDescent="0.25">
      <c r="A65" s="2" t="s">
        <v>28</v>
      </c>
      <c r="B65" t="s">
        <v>40</v>
      </c>
      <c r="C65" t="b">
        <v>0</v>
      </c>
    </row>
    <row r="66" spans="1:3" x14ac:dyDescent="0.25">
      <c r="A66" s="2" t="s">
        <v>28</v>
      </c>
      <c r="B66" t="s">
        <v>41</v>
      </c>
      <c r="C66" s="2" t="s">
        <v>55</v>
      </c>
    </row>
    <row r="67" spans="1:3" x14ac:dyDescent="0.25">
      <c r="A67" s="2" t="s">
        <v>28</v>
      </c>
      <c r="B67" t="s">
        <v>76</v>
      </c>
      <c r="C67" s="2" t="s">
        <v>264</v>
      </c>
    </row>
    <row r="68" spans="1:3" x14ac:dyDescent="0.25">
      <c r="A68" s="2" t="s">
        <v>28</v>
      </c>
      <c r="B68" t="s">
        <v>44</v>
      </c>
      <c r="C68">
        <v>18.43</v>
      </c>
    </row>
    <row r="69" spans="1:3" x14ac:dyDescent="0.25">
      <c r="A69" s="2" t="s">
        <v>21</v>
      </c>
      <c r="B69" t="s">
        <v>184</v>
      </c>
      <c r="C69" s="2" t="s">
        <v>185</v>
      </c>
    </row>
    <row r="70" spans="1:3" x14ac:dyDescent="0.25">
      <c r="A70" s="2" t="s">
        <v>21</v>
      </c>
      <c r="B70" t="s">
        <v>186</v>
      </c>
      <c r="C70">
        <v>3</v>
      </c>
    </row>
    <row r="71" spans="1:3" x14ac:dyDescent="0.25">
      <c r="A71" s="2" t="s">
        <v>21</v>
      </c>
      <c r="B71" t="s">
        <v>187</v>
      </c>
      <c r="C71">
        <v>1</v>
      </c>
    </row>
    <row r="72" spans="1:3" x14ac:dyDescent="0.25">
      <c r="A72" s="2" t="s">
        <v>21</v>
      </c>
      <c r="B72" t="s">
        <v>188</v>
      </c>
      <c r="C72">
        <v>1</v>
      </c>
    </row>
    <row r="73" spans="1:3" x14ac:dyDescent="0.25">
      <c r="A73" s="2" t="s">
        <v>21</v>
      </c>
      <c r="B73" t="s">
        <v>189</v>
      </c>
      <c r="C73">
        <v>-7.63559768299105E-3</v>
      </c>
    </row>
    <row r="74" spans="1:3" x14ac:dyDescent="0.25">
      <c r="A74" s="2" t="s">
        <v>21</v>
      </c>
      <c r="B74" t="s">
        <v>190</v>
      </c>
      <c r="C74">
        <v>7039480</v>
      </c>
    </row>
    <row r="75" spans="1:3" x14ac:dyDescent="0.25">
      <c r="A75" s="2" t="s">
        <v>21</v>
      </c>
      <c r="B75" t="s">
        <v>191</v>
      </c>
      <c r="C75">
        <v>5</v>
      </c>
    </row>
    <row r="76" spans="1:3" x14ac:dyDescent="0.25">
      <c r="A76" s="2" t="s">
        <v>21</v>
      </c>
      <c r="B76" t="s">
        <v>192</v>
      </c>
      <c r="C76">
        <v>50</v>
      </c>
    </row>
    <row r="77" spans="1:3" x14ac:dyDescent="0.25">
      <c r="A77" s="2" t="s">
        <v>21</v>
      </c>
      <c r="B77" t="s">
        <v>193</v>
      </c>
      <c r="C77">
        <v>8711167</v>
      </c>
    </row>
    <row r="78" spans="1:3" x14ac:dyDescent="0.25">
      <c r="A78" s="2" t="s">
        <v>21</v>
      </c>
      <c r="B78" t="s">
        <v>194</v>
      </c>
      <c r="C78">
        <v>2</v>
      </c>
    </row>
    <row r="79" spans="1:3" x14ac:dyDescent="0.25">
      <c r="A79" s="2" t="s">
        <v>21</v>
      </c>
      <c r="B79" t="s">
        <v>195</v>
      </c>
      <c r="C79">
        <v>3.6185235178070797E-2</v>
      </c>
    </row>
    <row r="80" spans="1:3" x14ac:dyDescent="0.25">
      <c r="A80" s="2" t="s">
        <v>21</v>
      </c>
      <c r="B80" t="s">
        <v>196</v>
      </c>
      <c r="C80">
        <v>8109667</v>
      </c>
    </row>
    <row r="81" spans="1:11" x14ac:dyDescent="0.25">
      <c r="A81" s="2" t="s">
        <v>32</v>
      </c>
      <c r="B81" t="s">
        <v>63</v>
      </c>
      <c r="C81" t="b">
        <v>0</v>
      </c>
    </row>
    <row r="82" spans="1:11" x14ac:dyDescent="0.25">
      <c r="A82" s="2" t="s">
        <v>32</v>
      </c>
      <c r="B82" t="s">
        <v>64</v>
      </c>
      <c r="C82" t="b">
        <v>1</v>
      </c>
    </row>
    <row r="83" spans="1:11" x14ac:dyDescent="0.25">
      <c r="A83" s="2" t="s">
        <v>32</v>
      </c>
      <c r="B83" t="s">
        <v>65</v>
      </c>
      <c r="C83" t="b">
        <v>1</v>
      </c>
    </row>
    <row r="84" spans="1:11" x14ac:dyDescent="0.25">
      <c r="A84" s="2" t="s">
        <v>32</v>
      </c>
      <c r="B84" t="s">
        <v>66</v>
      </c>
      <c r="C84">
        <v>0</v>
      </c>
    </row>
    <row r="85" spans="1:11" x14ac:dyDescent="0.25">
      <c r="A85" s="2" t="s">
        <v>32</v>
      </c>
      <c r="B85" t="s">
        <v>67</v>
      </c>
      <c r="C85">
        <v>-2</v>
      </c>
    </row>
    <row r="86" spans="1:11" x14ac:dyDescent="0.25">
      <c r="A86" s="2" t="s">
        <v>32</v>
      </c>
      <c r="B86" t="s">
        <v>68</v>
      </c>
      <c r="C86">
        <v>1</v>
      </c>
    </row>
    <row r="87" spans="1:11" x14ac:dyDescent="0.25">
      <c r="A87" s="2" t="s">
        <v>32</v>
      </c>
      <c r="B87" t="s">
        <v>69</v>
      </c>
      <c r="C87">
        <v>100</v>
      </c>
    </row>
    <row r="88" spans="1:11" x14ac:dyDescent="0.25">
      <c r="A88" t="s">
        <v>253</v>
      </c>
    </row>
    <row r="89" spans="1:11" x14ac:dyDescent="0.25">
      <c r="A89" t="s">
        <v>265</v>
      </c>
    </row>
    <row r="90" spans="1:11" x14ac:dyDescent="0.25">
      <c r="D90" t="s">
        <v>14</v>
      </c>
      <c r="E90" t="s">
        <v>230</v>
      </c>
      <c r="G90" t="s">
        <v>231</v>
      </c>
      <c r="J90" t="s">
        <v>232</v>
      </c>
      <c r="K90" t="s">
        <v>233</v>
      </c>
    </row>
    <row r="91" spans="1:11" x14ac:dyDescent="0.25">
      <c r="D91" t="s">
        <v>11</v>
      </c>
      <c r="E91" t="s">
        <v>234</v>
      </c>
      <c r="G91" t="s">
        <v>266</v>
      </c>
      <c r="J91" t="s">
        <v>267</v>
      </c>
    </row>
    <row r="92" spans="1:11" x14ac:dyDescent="0.25">
      <c r="D92" t="s">
        <v>71</v>
      </c>
      <c r="E92" t="s">
        <v>236</v>
      </c>
      <c r="G92" t="s">
        <v>231</v>
      </c>
      <c r="J92" t="s">
        <v>232</v>
      </c>
      <c r="K92" t="s">
        <v>268</v>
      </c>
    </row>
    <row r="93" spans="1:11" x14ac:dyDescent="0.25">
      <c r="D93" t="s">
        <v>19</v>
      </c>
      <c r="E93" t="s">
        <v>237</v>
      </c>
      <c r="G93" t="s">
        <v>231</v>
      </c>
      <c r="J93" t="s">
        <v>232</v>
      </c>
      <c r="K93" t="s">
        <v>269</v>
      </c>
    </row>
    <row r="94" spans="1:11" x14ac:dyDescent="0.25">
      <c r="D94" t="s">
        <v>20</v>
      </c>
      <c r="E94" t="s">
        <v>239</v>
      </c>
      <c r="G94" t="s">
        <v>231</v>
      </c>
      <c r="J94" t="s">
        <v>232</v>
      </c>
      <c r="K94" t="s">
        <v>270</v>
      </c>
    </row>
    <row r="95" spans="1:11" x14ac:dyDescent="0.25">
      <c r="D95" t="s">
        <v>21</v>
      </c>
      <c r="E95" t="s">
        <v>241</v>
      </c>
      <c r="G95" t="s">
        <v>231</v>
      </c>
      <c r="J95" t="s">
        <v>232</v>
      </c>
      <c r="K95" t="s">
        <v>268</v>
      </c>
    </row>
    <row r="96" spans="1:11" x14ac:dyDescent="0.25">
      <c r="D96" t="s">
        <v>72</v>
      </c>
      <c r="E96" t="s">
        <v>242</v>
      </c>
      <c r="G96" t="s">
        <v>231</v>
      </c>
      <c r="J96" t="s">
        <v>232</v>
      </c>
      <c r="K96" t="s">
        <v>269</v>
      </c>
    </row>
    <row r="97" spans="1:11" x14ac:dyDescent="0.25">
      <c r="D97" t="s">
        <v>73</v>
      </c>
      <c r="E97" t="s">
        <v>243</v>
      </c>
      <c r="G97" t="s">
        <v>231</v>
      </c>
      <c r="J97" t="s">
        <v>232</v>
      </c>
      <c r="K97" t="s">
        <v>269</v>
      </c>
    </row>
    <row r="98" spans="1:11" x14ac:dyDescent="0.25">
      <c r="D98" t="s">
        <v>74</v>
      </c>
      <c r="E98" t="s">
        <v>244</v>
      </c>
      <c r="G98" t="s">
        <v>231</v>
      </c>
      <c r="J98" t="s">
        <v>232</v>
      </c>
      <c r="K98" t="s">
        <v>271</v>
      </c>
    </row>
    <row r="99" spans="1:11" x14ac:dyDescent="0.25">
      <c r="D99" t="s">
        <v>25</v>
      </c>
      <c r="E99" t="s">
        <v>246</v>
      </c>
      <c r="G99" t="s">
        <v>231</v>
      </c>
      <c r="J99" t="s">
        <v>232</v>
      </c>
      <c r="K99" t="s">
        <v>270</v>
      </c>
    </row>
    <row r="100" spans="1:11" x14ac:dyDescent="0.25">
      <c r="D100" t="s">
        <v>27</v>
      </c>
      <c r="E100" t="s">
        <v>247</v>
      </c>
      <c r="G100" t="s">
        <v>231</v>
      </c>
      <c r="J100" t="s">
        <v>232</v>
      </c>
      <c r="K100" t="s">
        <v>272</v>
      </c>
    </row>
    <row r="101" spans="1:11" x14ac:dyDescent="0.25">
      <c r="D101" t="s">
        <v>28</v>
      </c>
      <c r="E101" t="s">
        <v>249</v>
      </c>
      <c r="G101" t="s">
        <v>231</v>
      </c>
      <c r="J101" t="s">
        <v>232</v>
      </c>
      <c r="K101" t="s">
        <v>273</v>
      </c>
    </row>
    <row r="102" spans="1:11" x14ac:dyDescent="0.25">
      <c r="A102" t="s">
        <v>274</v>
      </c>
    </row>
    <row r="103" spans="1:11" x14ac:dyDescent="0.25">
      <c r="A103" t="s">
        <v>275</v>
      </c>
    </row>
    <row r="104" spans="1:11" x14ac:dyDescent="0.25">
      <c r="A104" s="2" t="s">
        <v>32</v>
      </c>
      <c r="B104" t="s">
        <v>33</v>
      </c>
      <c r="C104" s="2" t="s">
        <v>177</v>
      </c>
    </row>
    <row r="105" spans="1:11" x14ac:dyDescent="0.25">
      <c r="A105" s="2" t="s">
        <v>32</v>
      </c>
      <c r="B105" t="s">
        <v>34</v>
      </c>
      <c r="C105" t="b">
        <v>0</v>
      </c>
    </row>
    <row r="106" spans="1:11" x14ac:dyDescent="0.25">
      <c r="A106" s="2" t="s">
        <v>32</v>
      </c>
      <c r="B106" t="s">
        <v>35</v>
      </c>
      <c r="C106" s="2" t="s">
        <v>75</v>
      </c>
    </row>
    <row r="107" spans="1:11" x14ac:dyDescent="0.25">
      <c r="A107" s="2" t="s">
        <v>32</v>
      </c>
      <c r="B107" t="s">
        <v>36</v>
      </c>
      <c r="C107" t="b">
        <v>0</v>
      </c>
    </row>
    <row r="108" spans="1:11" x14ac:dyDescent="0.25">
      <c r="A108" s="2" t="s">
        <v>32</v>
      </c>
      <c r="B108" t="s">
        <v>37</v>
      </c>
      <c r="C108" t="b">
        <v>0</v>
      </c>
    </row>
    <row r="109" spans="1:11" x14ac:dyDescent="0.25">
      <c r="A109" s="2" t="s">
        <v>32</v>
      </c>
      <c r="B109" t="s">
        <v>38</v>
      </c>
      <c r="C109" t="b">
        <v>0</v>
      </c>
    </row>
    <row r="110" spans="1:11" x14ac:dyDescent="0.25">
      <c r="A110" s="2" t="s">
        <v>32</v>
      </c>
      <c r="B110" t="s">
        <v>39</v>
      </c>
      <c r="C110" t="b">
        <v>0</v>
      </c>
    </row>
    <row r="111" spans="1:11" x14ac:dyDescent="0.25">
      <c r="A111" s="2" t="s">
        <v>9</v>
      </c>
      <c r="B111" t="s">
        <v>40</v>
      </c>
      <c r="C111" t="b">
        <v>1</v>
      </c>
    </row>
    <row r="112" spans="1:11" x14ac:dyDescent="0.25">
      <c r="A112" s="2" t="s">
        <v>9</v>
      </c>
      <c r="B112" t="s">
        <v>41</v>
      </c>
      <c r="C112" s="2" t="s">
        <v>42</v>
      </c>
    </row>
    <row r="113" spans="1:3" x14ac:dyDescent="0.25">
      <c r="A113" s="2" t="s">
        <v>14</v>
      </c>
      <c r="B113" t="s">
        <v>40</v>
      </c>
      <c r="C113" t="b">
        <v>0</v>
      </c>
    </row>
    <row r="114" spans="1:3" x14ac:dyDescent="0.25">
      <c r="A114" s="2" t="s">
        <v>14</v>
      </c>
      <c r="B114" t="s">
        <v>41</v>
      </c>
      <c r="C114" s="2" t="s">
        <v>43</v>
      </c>
    </row>
    <row r="115" spans="1:3" x14ac:dyDescent="0.25">
      <c r="A115" s="2" t="s">
        <v>14</v>
      </c>
      <c r="B115" t="s">
        <v>44</v>
      </c>
      <c r="C115">
        <v>9.14</v>
      </c>
    </row>
    <row r="116" spans="1:3" x14ac:dyDescent="0.25">
      <c r="A116" s="2" t="s">
        <v>11</v>
      </c>
      <c r="B116" t="s">
        <v>40</v>
      </c>
      <c r="C116" t="b">
        <v>0</v>
      </c>
    </row>
    <row r="117" spans="1:3" x14ac:dyDescent="0.25">
      <c r="A117" s="2" t="s">
        <v>11</v>
      </c>
      <c r="B117" t="s">
        <v>41</v>
      </c>
      <c r="C117" s="2" t="s">
        <v>45</v>
      </c>
    </row>
    <row r="118" spans="1:3" x14ac:dyDescent="0.25">
      <c r="A118" s="2" t="s">
        <v>11</v>
      </c>
      <c r="B118" t="s">
        <v>44</v>
      </c>
      <c r="C118">
        <v>9.43</v>
      </c>
    </row>
    <row r="119" spans="1:3" x14ac:dyDescent="0.25">
      <c r="A119" s="2" t="s">
        <v>11</v>
      </c>
      <c r="B119" t="s">
        <v>77</v>
      </c>
      <c r="C119" s="2" t="s">
        <v>78</v>
      </c>
    </row>
    <row r="120" spans="1:3" x14ac:dyDescent="0.25">
      <c r="A120" s="2" t="s">
        <v>71</v>
      </c>
      <c r="B120" t="s">
        <v>40</v>
      </c>
      <c r="C120" t="b">
        <v>0</v>
      </c>
    </row>
    <row r="121" spans="1:3" x14ac:dyDescent="0.25">
      <c r="A121" s="2" t="s">
        <v>71</v>
      </c>
      <c r="B121" t="s">
        <v>41</v>
      </c>
      <c r="C121" s="2" t="s">
        <v>46</v>
      </c>
    </row>
    <row r="122" spans="1:3" x14ac:dyDescent="0.25">
      <c r="A122" s="2" t="s">
        <v>71</v>
      </c>
      <c r="B122" t="s">
        <v>76</v>
      </c>
      <c r="C122" s="2" t="s">
        <v>277</v>
      </c>
    </row>
    <row r="123" spans="1:3" x14ac:dyDescent="0.25">
      <c r="A123" s="2" t="s">
        <v>71</v>
      </c>
      <c r="B123" t="s">
        <v>44</v>
      </c>
      <c r="C123">
        <v>15.57</v>
      </c>
    </row>
    <row r="124" spans="1:3" x14ac:dyDescent="0.25">
      <c r="A124" s="2" t="s">
        <v>71</v>
      </c>
      <c r="B124" t="s">
        <v>77</v>
      </c>
      <c r="C124" s="2" t="s">
        <v>79</v>
      </c>
    </row>
    <row r="125" spans="1:3" x14ac:dyDescent="0.25">
      <c r="A125" s="2" t="s">
        <v>19</v>
      </c>
      <c r="B125" t="s">
        <v>40</v>
      </c>
      <c r="C125" t="b">
        <v>0</v>
      </c>
    </row>
    <row r="126" spans="1:3" x14ac:dyDescent="0.25">
      <c r="A126" s="2" t="s">
        <v>19</v>
      </c>
      <c r="B126" t="s">
        <v>41</v>
      </c>
      <c r="C126" s="2" t="s">
        <v>47</v>
      </c>
    </row>
    <row r="127" spans="1:3" x14ac:dyDescent="0.25">
      <c r="A127" s="2" t="s">
        <v>19</v>
      </c>
      <c r="B127" t="s">
        <v>76</v>
      </c>
      <c r="C127" s="2" t="s">
        <v>278</v>
      </c>
    </row>
    <row r="128" spans="1:3" x14ac:dyDescent="0.25">
      <c r="A128" s="2" t="s">
        <v>19</v>
      </c>
      <c r="B128" t="s">
        <v>44</v>
      </c>
      <c r="C128">
        <v>9.43</v>
      </c>
    </row>
    <row r="129" spans="1:3" x14ac:dyDescent="0.25">
      <c r="A129" s="2" t="s">
        <v>19</v>
      </c>
      <c r="B129" t="s">
        <v>77</v>
      </c>
      <c r="C129" s="2" t="s">
        <v>180</v>
      </c>
    </row>
    <row r="130" spans="1:3" x14ac:dyDescent="0.25">
      <c r="A130" s="2" t="s">
        <v>20</v>
      </c>
      <c r="B130" t="s">
        <v>40</v>
      </c>
      <c r="C130" t="b">
        <v>0</v>
      </c>
    </row>
    <row r="131" spans="1:3" x14ac:dyDescent="0.25">
      <c r="A131" s="2" t="s">
        <v>20</v>
      </c>
      <c r="B131" t="s">
        <v>41</v>
      </c>
      <c r="C131" s="2" t="s">
        <v>48</v>
      </c>
    </row>
    <row r="132" spans="1:3" x14ac:dyDescent="0.25">
      <c r="A132" s="2" t="s">
        <v>20</v>
      </c>
      <c r="B132" t="s">
        <v>76</v>
      </c>
      <c r="C132" s="2" t="s">
        <v>279</v>
      </c>
    </row>
    <row r="133" spans="1:3" x14ac:dyDescent="0.25">
      <c r="A133" s="2" t="s">
        <v>20</v>
      </c>
      <c r="B133" t="s">
        <v>44</v>
      </c>
      <c r="C133">
        <v>9.14</v>
      </c>
    </row>
    <row r="134" spans="1:3" x14ac:dyDescent="0.25">
      <c r="A134" s="2" t="s">
        <v>20</v>
      </c>
      <c r="B134" t="s">
        <v>77</v>
      </c>
      <c r="C134" s="2" t="s">
        <v>181</v>
      </c>
    </row>
    <row r="135" spans="1:3" x14ac:dyDescent="0.25">
      <c r="A135" s="2" t="s">
        <v>21</v>
      </c>
      <c r="B135" t="s">
        <v>40</v>
      </c>
      <c r="C135" t="b">
        <v>0</v>
      </c>
    </row>
    <row r="136" spans="1:3" x14ac:dyDescent="0.25">
      <c r="A136" s="2" t="s">
        <v>21</v>
      </c>
      <c r="B136" t="s">
        <v>41</v>
      </c>
      <c r="C136" s="2" t="s">
        <v>49</v>
      </c>
    </row>
    <row r="137" spans="1:3" x14ac:dyDescent="0.25">
      <c r="A137" s="2" t="s">
        <v>21</v>
      </c>
      <c r="B137" t="s">
        <v>76</v>
      </c>
      <c r="C137" s="2" t="s">
        <v>280</v>
      </c>
    </row>
    <row r="138" spans="1:3" x14ac:dyDescent="0.25">
      <c r="A138" s="2" t="s">
        <v>21</v>
      </c>
      <c r="B138" t="s">
        <v>44</v>
      </c>
      <c r="C138">
        <v>16.14</v>
      </c>
    </row>
    <row r="139" spans="1:3" x14ac:dyDescent="0.25">
      <c r="A139" s="2" t="s">
        <v>21</v>
      </c>
      <c r="B139" t="s">
        <v>77</v>
      </c>
      <c r="C139" s="2" t="s">
        <v>151</v>
      </c>
    </row>
    <row r="140" spans="1:3" x14ac:dyDescent="0.25">
      <c r="A140" s="2" t="s">
        <v>72</v>
      </c>
      <c r="B140" t="s">
        <v>40</v>
      </c>
      <c r="C140" t="b">
        <v>0</v>
      </c>
    </row>
    <row r="141" spans="1:3" x14ac:dyDescent="0.25">
      <c r="A141" s="2" t="s">
        <v>72</v>
      </c>
      <c r="B141" t="s">
        <v>41</v>
      </c>
      <c r="C141" s="2" t="s">
        <v>50</v>
      </c>
    </row>
    <row r="142" spans="1:3" x14ac:dyDescent="0.25">
      <c r="A142" s="2" t="s">
        <v>72</v>
      </c>
      <c r="B142" t="s">
        <v>76</v>
      </c>
      <c r="C142" s="2" t="s">
        <v>281</v>
      </c>
    </row>
    <row r="143" spans="1:3" x14ac:dyDescent="0.25">
      <c r="A143" s="2" t="s">
        <v>72</v>
      </c>
      <c r="B143" t="s">
        <v>44</v>
      </c>
      <c r="C143">
        <v>9.43</v>
      </c>
    </row>
    <row r="144" spans="1:3" x14ac:dyDescent="0.25">
      <c r="A144" s="2" t="s">
        <v>72</v>
      </c>
      <c r="B144" t="s">
        <v>77</v>
      </c>
      <c r="C144" s="2" t="s">
        <v>180</v>
      </c>
    </row>
    <row r="145" spans="1:3" x14ac:dyDescent="0.25">
      <c r="A145" s="2" t="s">
        <v>73</v>
      </c>
      <c r="B145" t="s">
        <v>40</v>
      </c>
      <c r="C145" t="b">
        <v>0</v>
      </c>
    </row>
    <row r="146" spans="1:3" x14ac:dyDescent="0.25">
      <c r="A146" s="2" t="s">
        <v>73</v>
      </c>
      <c r="B146" t="s">
        <v>41</v>
      </c>
      <c r="C146" s="2" t="s">
        <v>51</v>
      </c>
    </row>
    <row r="147" spans="1:3" x14ac:dyDescent="0.25">
      <c r="A147" s="2" t="s">
        <v>73</v>
      </c>
      <c r="B147" t="s">
        <v>76</v>
      </c>
      <c r="C147" s="2" t="s">
        <v>282</v>
      </c>
    </row>
    <row r="148" spans="1:3" x14ac:dyDescent="0.25">
      <c r="A148" s="2" t="s">
        <v>73</v>
      </c>
      <c r="B148" t="s">
        <v>44</v>
      </c>
      <c r="C148">
        <v>9.43</v>
      </c>
    </row>
    <row r="149" spans="1:3" x14ac:dyDescent="0.25">
      <c r="A149" s="2" t="s">
        <v>73</v>
      </c>
      <c r="B149" t="s">
        <v>77</v>
      </c>
      <c r="C149" s="2" t="s">
        <v>180</v>
      </c>
    </row>
    <row r="150" spans="1:3" x14ac:dyDescent="0.25">
      <c r="A150" s="2" t="s">
        <v>74</v>
      </c>
      <c r="B150" t="s">
        <v>40</v>
      </c>
      <c r="C150" t="b">
        <v>0</v>
      </c>
    </row>
    <row r="151" spans="1:3" x14ac:dyDescent="0.25">
      <c r="A151" s="2" t="s">
        <v>74</v>
      </c>
      <c r="B151" t="s">
        <v>41</v>
      </c>
      <c r="C151" s="2" t="s">
        <v>52</v>
      </c>
    </row>
    <row r="152" spans="1:3" x14ac:dyDescent="0.25">
      <c r="A152" s="2" t="s">
        <v>74</v>
      </c>
      <c r="B152" t="s">
        <v>76</v>
      </c>
      <c r="C152" s="2" t="s">
        <v>283</v>
      </c>
    </row>
    <row r="153" spans="1:3" x14ac:dyDescent="0.25">
      <c r="A153" s="2" t="s">
        <v>74</v>
      </c>
      <c r="B153" t="s">
        <v>44</v>
      </c>
      <c r="C153">
        <v>9.43</v>
      </c>
    </row>
    <row r="154" spans="1:3" x14ac:dyDescent="0.25">
      <c r="A154" s="2" t="s">
        <v>74</v>
      </c>
      <c r="B154" t="s">
        <v>77</v>
      </c>
      <c r="C154" s="2" t="s">
        <v>180</v>
      </c>
    </row>
    <row r="155" spans="1:3" x14ac:dyDescent="0.25">
      <c r="A155" s="2" t="s">
        <v>25</v>
      </c>
      <c r="B155" t="s">
        <v>40</v>
      </c>
      <c r="C155" t="b">
        <v>0</v>
      </c>
    </row>
    <row r="156" spans="1:3" x14ac:dyDescent="0.25">
      <c r="A156" s="2" t="s">
        <v>25</v>
      </c>
      <c r="B156" t="s">
        <v>41</v>
      </c>
      <c r="C156" s="2" t="s">
        <v>53</v>
      </c>
    </row>
    <row r="157" spans="1:3" x14ac:dyDescent="0.25">
      <c r="A157" s="2" t="s">
        <v>25</v>
      </c>
      <c r="B157" t="s">
        <v>76</v>
      </c>
      <c r="C157" s="2" t="s">
        <v>284</v>
      </c>
    </row>
    <row r="158" spans="1:3" x14ac:dyDescent="0.25">
      <c r="A158" s="2" t="s">
        <v>25</v>
      </c>
      <c r="B158" t="s">
        <v>44</v>
      </c>
      <c r="C158">
        <v>10</v>
      </c>
    </row>
    <row r="159" spans="1:3" x14ac:dyDescent="0.25">
      <c r="A159" s="2" t="s">
        <v>25</v>
      </c>
      <c r="B159" t="s">
        <v>77</v>
      </c>
      <c r="C159" s="2" t="s">
        <v>182</v>
      </c>
    </row>
    <row r="160" spans="1:3" x14ac:dyDescent="0.25">
      <c r="A160" s="2" t="s">
        <v>27</v>
      </c>
      <c r="B160" t="s">
        <v>40</v>
      </c>
      <c r="C160" t="b">
        <v>0</v>
      </c>
    </row>
    <row r="161" spans="1:3" x14ac:dyDescent="0.25">
      <c r="A161" s="2" t="s">
        <v>27</v>
      </c>
      <c r="B161" t="s">
        <v>41</v>
      </c>
      <c r="C161" s="2" t="s">
        <v>54</v>
      </c>
    </row>
    <row r="162" spans="1:3" x14ac:dyDescent="0.25">
      <c r="A162" s="2" t="s">
        <v>27</v>
      </c>
      <c r="B162" t="s">
        <v>76</v>
      </c>
      <c r="C162" s="2" t="s">
        <v>285</v>
      </c>
    </row>
    <row r="163" spans="1:3" x14ac:dyDescent="0.25">
      <c r="A163" s="2" t="s">
        <v>27</v>
      </c>
      <c r="B163" t="s">
        <v>44</v>
      </c>
      <c r="C163">
        <v>20.71</v>
      </c>
    </row>
    <row r="164" spans="1:3" x14ac:dyDescent="0.25">
      <c r="A164" s="2" t="s">
        <v>27</v>
      </c>
      <c r="B164" t="s">
        <v>77</v>
      </c>
      <c r="C164" s="2" t="s">
        <v>79</v>
      </c>
    </row>
    <row r="165" spans="1:3" x14ac:dyDescent="0.25">
      <c r="A165" s="2" t="s">
        <v>28</v>
      </c>
      <c r="B165" t="s">
        <v>40</v>
      </c>
      <c r="C165" t="b">
        <v>0</v>
      </c>
    </row>
    <row r="166" spans="1:3" x14ac:dyDescent="0.25">
      <c r="A166" s="2" t="s">
        <v>28</v>
      </c>
      <c r="B166" t="s">
        <v>41</v>
      </c>
      <c r="C166" s="2" t="s">
        <v>55</v>
      </c>
    </row>
    <row r="167" spans="1:3" x14ac:dyDescent="0.25">
      <c r="A167" s="2" t="s">
        <v>28</v>
      </c>
      <c r="B167" t="s">
        <v>76</v>
      </c>
      <c r="C167" s="2" t="s">
        <v>286</v>
      </c>
    </row>
    <row r="168" spans="1:3" x14ac:dyDescent="0.25">
      <c r="A168" s="2" t="s">
        <v>28</v>
      </c>
      <c r="B168" t="s">
        <v>44</v>
      </c>
      <c r="C168">
        <v>18.43</v>
      </c>
    </row>
    <row r="169" spans="1:3" x14ac:dyDescent="0.25">
      <c r="A169" s="2" t="s">
        <v>21</v>
      </c>
      <c r="B169" t="s">
        <v>184</v>
      </c>
      <c r="C169" s="2" t="s">
        <v>185</v>
      </c>
    </row>
    <row r="170" spans="1:3" x14ac:dyDescent="0.25">
      <c r="A170" s="2" t="s">
        <v>21</v>
      </c>
      <c r="B170" t="s">
        <v>186</v>
      </c>
      <c r="C170">
        <v>3</v>
      </c>
    </row>
    <row r="171" spans="1:3" x14ac:dyDescent="0.25">
      <c r="A171" s="2" t="s">
        <v>21</v>
      </c>
      <c r="B171" t="s">
        <v>187</v>
      </c>
      <c r="C171">
        <v>1</v>
      </c>
    </row>
    <row r="172" spans="1:3" x14ac:dyDescent="0.25">
      <c r="A172" s="2" t="s">
        <v>21</v>
      </c>
      <c r="B172" t="s">
        <v>188</v>
      </c>
      <c r="C172">
        <v>1</v>
      </c>
    </row>
    <row r="173" spans="1:3" x14ac:dyDescent="0.25">
      <c r="A173" s="2" t="s">
        <v>21</v>
      </c>
      <c r="B173" t="s">
        <v>189</v>
      </c>
      <c r="C173">
        <v>-7.63559768299105E-3</v>
      </c>
    </row>
    <row r="174" spans="1:3" x14ac:dyDescent="0.25">
      <c r="A174" s="2" t="s">
        <v>21</v>
      </c>
      <c r="B174" t="s">
        <v>190</v>
      </c>
      <c r="C174">
        <v>7039480</v>
      </c>
    </row>
    <row r="175" spans="1:3" x14ac:dyDescent="0.25">
      <c r="A175" s="2" t="s">
        <v>21</v>
      </c>
      <c r="B175" t="s">
        <v>191</v>
      </c>
      <c r="C175">
        <v>5</v>
      </c>
    </row>
    <row r="176" spans="1:3" x14ac:dyDescent="0.25">
      <c r="A176" s="2" t="s">
        <v>21</v>
      </c>
      <c r="B176" t="s">
        <v>192</v>
      </c>
      <c r="C176">
        <v>50</v>
      </c>
    </row>
    <row r="177" spans="1:11" x14ac:dyDescent="0.25">
      <c r="A177" s="2" t="s">
        <v>21</v>
      </c>
      <c r="B177" t="s">
        <v>193</v>
      </c>
      <c r="C177">
        <v>8711167</v>
      </c>
    </row>
    <row r="178" spans="1:11" x14ac:dyDescent="0.25">
      <c r="A178" s="2" t="s">
        <v>21</v>
      </c>
      <c r="B178" t="s">
        <v>194</v>
      </c>
      <c r="C178">
        <v>2</v>
      </c>
    </row>
    <row r="179" spans="1:11" x14ac:dyDescent="0.25">
      <c r="A179" s="2" t="s">
        <v>21</v>
      </c>
      <c r="B179" t="s">
        <v>195</v>
      </c>
      <c r="C179">
        <v>3.6185235178070797E-2</v>
      </c>
    </row>
    <row r="180" spans="1:11" x14ac:dyDescent="0.25">
      <c r="A180" s="2" t="s">
        <v>21</v>
      </c>
      <c r="B180" t="s">
        <v>196</v>
      </c>
      <c r="C180">
        <v>8109667</v>
      </c>
    </row>
    <row r="181" spans="1:11" x14ac:dyDescent="0.25">
      <c r="A181" s="2" t="s">
        <v>32</v>
      </c>
      <c r="B181" t="s">
        <v>63</v>
      </c>
      <c r="C181" t="b">
        <v>0</v>
      </c>
    </row>
    <row r="182" spans="1:11" x14ac:dyDescent="0.25">
      <c r="A182" s="2" t="s">
        <v>32</v>
      </c>
      <c r="B182" t="s">
        <v>64</v>
      </c>
      <c r="C182" t="b">
        <v>1</v>
      </c>
    </row>
    <row r="183" spans="1:11" x14ac:dyDescent="0.25">
      <c r="A183" s="2" t="s">
        <v>32</v>
      </c>
      <c r="B183" t="s">
        <v>65</v>
      </c>
      <c r="C183" t="b">
        <v>1</v>
      </c>
    </row>
    <row r="184" spans="1:11" x14ac:dyDescent="0.25">
      <c r="A184" s="2" t="s">
        <v>32</v>
      </c>
      <c r="B184" t="s">
        <v>66</v>
      </c>
      <c r="C184">
        <v>0</v>
      </c>
    </row>
    <row r="185" spans="1:11" x14ac:dyDescent="0.25">
      <c r="A185" s="2" t="s">
        <v>32</v>
      </c>
      <c r="B185" t="s">
        <v>67</v>
      </c>
      <c r="C185">
        <v>-2</v>
      </c>
    </row>
    <row r="186" spans="1:11" x14ac:dyDescent="0.25">
      <c r="A186" s="2" t="s">
        <v>32</v>
      </c>
      <c r="B186" t="s">
        <v>68</v>
      </c>
      <c r="C186">
        <v>1</v>
      </c>
    </row>
    <row r="187" spans="1:11" x14ac:dyDescent="0.25">
      <c r="A187" s="2" t="s">
        <v>32</v>
      </c>
      <c r="B187" t="s">
        <v>69</v>
      </c>
      <c r="C187">
        <v>100</v>
      </c>
    </row>
    <row r="188" spans="1:11" x14ac:dyDescent="0.25">
      <c r="A188" t="s">
        <v>276</v>
      </c>
    </row>
    <row r="189" spans="1:11" x14ac:dyDescent="0.25">
      <c r="A189" t="s">
        <v>287</v>
      </c>
    </row>
    <row r="190" spans="1:11" x14ac:dyDescent="0.25">
      <c r="D190" t="s">
        <v>14</v>
      </c>
      <c r="E190" t="s">
        <v>230</v>
      </c>
      <c r="G190" t="s">
        <v>231</v>
      </c>
      <c r="J190" t="s">
        <v>232</v>
      </c>
      <c r="K190" t="s">
        <v>233</v>
      </c>
    </row>
    <row r="191" spans="1:11" x14ac:dyDescent="0.25">
      <c r="D191" t="s">
        <v>115</v>
      </c>
      <c r="E191" t="s">
        <v>234</v>
      </c>
      <c r="G191" t="s">
        <v>231</v>
      </c>
      <c r="J191" t="s">
        <v>232</v>
      </c>
      <c r="K191" t="s">
        <v>288</v>
      </c>
    </row>
    <row r="192" spans="1:11" x14ac:dyDescent="0.25">
      <c r="D192" t="s">
        <v>152</v>
      </c>
      <c r="E192" t="s">
        <v>236</v>
      </c>
      <c r="G192" t="s">
        <v>231</v>
      </c>
      <c r="J192" t="s">
        <v>232</v>
      </c>
      <c r="K192" t="s">
        <v>240</v>
      </c>
    </row>
    <row r="193" spans="1:11" x14ac:dyDescent="0.25">
      <c r="D193" t="s">
        <v>153</v>
      </c>
      <c r="E193" t="s">
        <v>237</v>
      </c>
      <c r="G193" t="s">
        <v>231</v>
      </c>
      <c r="J193" t="s">
        <v>232</v>
      </c>
      <c r="K193" t="s">
        <v>289</v>
      </c>
    </row>
    <row r="194" spans="1:11" x14ac:dyDescent="0.25">
      <c r="D194" t="s">
        <v>154</v>
      </c>
      <c r="E194" t="s">
        <v>239</v>
      </c>
      <c r="G194" t="s">
        <v>231</v>
      </c>
      <c r="J194" t="s">
        <v>232</v>
      </c>
      <c r="K194" t="s">
        <v>290</v>
      </c>
    </row>
    <row r="195" spans="1:11" x14ac:dyDescent="0.25">
      <c r="D195" t="s">
        <v>155</v>
      </c>
      <c r="E195" t="s">
        <v>241</v>
      </c>
      <c r="G195" t="s">
        <v>231</v>
      </c>
      <c r="J195" t="s">
        <v>232</v>
      </c>
      <c r="K195" t="s">
        <v>291</v>
      </c>
    </row>
    <row r="196" spans="1:11" x14ac:dyDescent="0.25">
      <c r="D196" t="s">
        <v>156</v>
      </c>
      <c r="E196" t="s">
        <v>242</v>
      </c>
      <c r="G196" t="s">
        <v>231</v>
      </c>
      <c r="J196" t="s">
        <v>232</v>
      </c>
      <c r="K196" t="s">
        <v>289</v>
      </c>
    </row>
    <row r="197" spans="1:11" x14ac:dyDescent="0.25">
      <c r="D197" t="s">
        <v>27</v>
      </c>
      <c r="E197" t="s">
        <v>243</v>
      </c>
      <c r="G197" t="s">
        <v>231</v>
      </c>
      <c r="J197" t="s">
        <v>232</v>
      </c>
      <c r="K197" t="s">
        <v>248</v>
      </c>
    </row>
    <row r="198" spans="1:11" x14ac:dyDescent="0.25">
      <c r="A198" t="s">
        <v>292</v>
      </c>
    </row>
    <row r="199" spans="1:11" x14ac:dyDescent="0.25">
      <c r="A199" t="s">
        <v>293</v>
      </c>
    </row>
    <row r="200" spans="1:11" x14ac:dyDescent="0.25">
      <c r="A200" s="2" t="s">
        <v>32</v>
      </c>
      <c r="B200" t="s">
        <v>33</v>
      </c>
      <c r="C200" s="2" t="s">
        <v>179</v>
      </c>
    </row>
    <row r="201" spans="1:11" x14ac:dyDescent="0.25">
      <c r="A201" s="2" t="s">
        <v>32</v>
      </c>
      <c r="B201" t="s">
        <v>34</v>
      </c>
      <c r="C201" t="b">
        <v>0</v>
      </c>
    </row>
    <row r="202" spans="1:11" x14ac:dyDescent="0.25">
      <c r="A202" s="2" t="s">
        <v>32</v>
      </c>
      <c r="B202" t="s">
        <v>35</v>
      </c>
      <c r="C202" s="2" t="s">
        <v>75</v>
      </c>
    </row>
    <row r="203" spans="1:11" x14ac:dyDescent="0.25">
      <c r="A203" s="2" t="s">
        <v>32</v>
      </c>
      <c r="B203" t="s">
        <v>36</v>
      </c>
      <c r="C203" t="b">
        <v>0</v>
      </c>
    </row>
    <row r="204" spans="1:11" x14ac:dyDescent="0.25">
      <c r="A204" s="2" t="s">
        <v>32</v>
      </c>
      <c r="B204" t="s">
        <v>37</v>
      </c>
      <c r="C204" t="b">
        <v>0</v>
      </c>
    </row>
    <row r="205" spans="1:11" x14ac:dyDescent="0.25">
      <c r="A205" s="2" t="s">
        <v>32</v>
      </c>
      <c r="B205" t="s">
        <v>38</v>
      </c>
      <c r="C205" t="b">
        <v>0</v>
      </c>
    </row>
    <row r="206" spans="1:11" x14ac:dyDescent="0.25">
      <c r="A206" s="2" t="s">
        <v>32</v>
      </c>
      <c r="B206" t="s">
        <v>39</v>
      </c>
      <c r="C206" t="b">
        <v>0</v>
      </c>
    </row>
    <row r="207" spans="1:11" x14ac:dyDescent="0.25">
      <c r="A207" s="2" t="s">
        <v>9</v>
      </c>
      <c r="B207" t="s">
        <v>40</v>
      </c>
      <c r="C207" t="b">
        <v>1</v>
      </c>
    </row>
    <row r="208" spans="1:11" x14ac:dyDescent="0.25">
      <c r="A208" s="2" t="s">
        <v>9</v>
      </c>
      <c r="B208" t="s">
        <v>41</v>
      </c>
      <c r="C208" s="2" t="s">
        <v>42</v>
      </c>
    </row>
    <row r="209" spans="1:3" x14ac:dyDescent="0.25">
      <c r="A209" s="2" t="s">
        <v>14</v>
      </c>
      <c r="B209" t="s">
        <v>40</v>
      </c>
      <c r="C209" t="b">
        <v>0</v>
      </c>
    </row>
    <row r="210" spans="1:3" x14ac:dyDescent="0.25">
      <c r="A210" s="2" t="s">
        <v>14</v>
      </c>
      <c r="B210" t="s">
        <v>41</v>
      </c>
      <c r="C210" s="2" t="s">
        <v>43</v>
      </c>
    </row>
    <row r="211" spans="1:3" x14ac:dyDescent="0.25">
      <c r="A211" s="2" t="s">
        <v>14</v>
      </c>
      <c r="B211" t="s">
        <v>44</v>
      </c>
      <c r="C211">
        <v>9.14</v>
      </c>
    </row>
    <row r="212" spans="1:3" x14ac:dyDescent="0.25">
      <c r="A212" s="2" t="s">
        <v>115</v>
      </c>
      <c r="B212" t="s">
        <v>40</v>
      </c>
      <c r="C212" t="b">
        <v>0</v>
      </c>
    </row>
    <row r="213" spans="1:3" x14ac:dyDescent="0.25">
      <c r="A213" s="2" t="s">
        <v>115</v>
      </c>
      <c r="B213" t="s">
        <v>41</v>
      </c>
      <c r="C213" s="2" t="s">
        <v>45</v>
      </c>
    </row>
    <row r="214" spans="1:3" x14ac:dyDescent="0.25">
      <c r="A214" s="2" t="s">
        <v>115</v>
      </c>
      <c r="B214" t="s">
        <v>76</v>
      </c>
      <c r="C214" s="2" t="s">
        <v>295</v>
      </c>
    </row>
    <row r="215" spans="1:3" x14ac:dyDescent="0.25">
      <c r="A215" s="2" t="s">
        <v>115</v>
      </c>
      <c r="B215" t="s">
        <v>44</v>
      </c>
      <c r="C215">
        <v>16.29</v>
      </c>
    </row>
    <row r="216" spans="1:3" x14ac:dyDescent="0.25">
      <c r="A216" s="2" t="s">
        <v>152</v>
      </c>
      <c r="B216" t="s">
        <v>40</v>
      </c>
      <c r="C216" t="b">
        <v>0</v>
      </c>
    </row>
    <row r="217" spans="1:3" x14ac:dyDescent="0.25">
      <c r="A217" s="2" t="s">
        <v>152</v>
      </c>
      <c r="B217" t="s">
        <v>41</v>
      </c>
      <c r="C217" s="2" t="s">
        <v>46</v>
      </c>
    </row>
    <row r="218" spans="1:3" x14ac:dyDescent="0.25">
      <c r="A218" s="2" t="s">
        <v>152</v>
      </c>
      <c r="B218" t="s">
        <v>76</v>
      </c>
      <c r="C218" s="2" t="s">
        <v>296</v>
      </c>
    </row>
    <row r="219" spans="1:3" x14ac:dyDescent="0.25">
      <c r="A219" s="2" t="s">
        <v>152</v>
      </c>
      <c r="B219" t="s">
        <v>44</v>
      </c>
      <c r="C219">
        <v>15.43</v>
      </c>
    </row>
    <row r="220" spans="1:3" x14ac:dyDescent="0.25">
      <c r="A220" s="2" t="s">
        <v>153</v>
      </c>
      <c r="B220" t="s">
        <v>40</v>
      </c>
      <c r="C220" t="b">
        <v>0</v>
      </c>
    </row>
    <row r="221" spans="1:3" x14ac:dyDescent="0.25">
      <c r="A221" s="2" t="s">
        <v>153</v>
      </c>
      <c r="B221" t="s">
        <v>41</v>
      </c>
      <c r="C221" s="2" t="s">
        <v>47</v>
      </c>
    </row>
    <row r="222" spans="1:3" x14ac:dyDescent="0.25">
      <c r="A222" s="2" t="s">
        <v>153</v>
      </c>
      <c r="B222" t="s">
        <v>76</v>
      </c>
      <c r="C222" s="2" t="s">
        <v>297</v>
      </c>
    </row>
    <row r="223" spans="1:3" x14ac:dyDescent="0.25">
      <c r="A223" s="2" t="s">
        <v>153</v>
      </c>
      <c r="B223" t="s">
        <v>44</v>
      </c>
      <c r="C223">
        <v>28</v>
      </c>
    </row>
    <row r="224" spans="1:3" x14ac:dyDescent="0.25">
      <c r="A224" s="2" t="s">
        <v>154</v>
      </c>
      <c r="B224" t="s">
        <v>40</v>
      </c>
      <c r="C224" t="b">
        <v>0</v>
      </c>
    </row>
    <row r="225" spans="1:3" x14ac:dyDescent="0.25">
      <c r="A225" s="2" t="s">
        <v>154</v>
      </c>
      <c r="B225" t="s">
        <v>41</v>
      </c>
      <c r="C225" s="2" t="s">
        <v>48</v>
      </c>
    </row>
    <row r="226" spans="1:3" x14ac:dyDescent="0.25">
      <c r="A226" s="2" t="s">
        <v>154</v>
      </c>
      <c r="B226" t="s">
        <v>76</v>
      </c>
      <c r="C226" s="2" t="s">
        <v>298</v>
      </c>
    </row>
    <row r="227" spans="1:3" x14ac:dyDescent="0.25">
      <c r="A227" s="2" t="s">
        <v>154</v>
      </c>
      <c r="B227" t="s">
        <v>44</v>
      </c>
      <c r="C227">
        <v>20.29</v>
      </c>
    </row>
    <row r="228" spans="1:3" x14ac:dyDescent="0.25">
      <c r="A228" s="2" t="s">
        <v>154</v>
      </c>
      <c r="B228" t="s">
        <v>77</v>
      </c>
      <c r="C228" s="2" t="s">
        <v>182</v>
      </c>
    </row>
    <row r="229" spans="1:3" x14ac:dyDescent="0.25">
      <c r="A229" s="2" t="s">
        <v>155</v>
      </c>
      <c r="B229" t="s">
        <v>40</v>
      </c>
      <c r="C229" t="b">
        <v>0</v>
      </c>
    </row>
    <row r="230" spans="1:3" x14ac:dyDescent="0.25">
      <c r="A230" s="2" t="s">
        <v>155</v>
      </c>
      <c r="B230" t="s">
        <v>41</v>
      </c>
      <c r="C230" s="2" t="s">
        <v>49</v>
      </c>
    </row>
    <row r="231" spans="1:3" x14ac:dyDescent="0.25">
      <c r="A231" s="2" t="s">
        <v>155</v>
      </c>
      <c r="B231" t="s">
        <v>76</v>
      </c>
      <c r="C231" s="2" t="s">
        <v>299</v>
      </c>
    </row>
    <row r="232" spans="1:3" x14ac:dyDescent="0.25">
      <c r="A232" s="2" t="s">
        <v>155</v>
      </c>
      <c r="B232" t="s">
        <v>44</v>
      </c>
      <c r="C232">
        <v>11.71</v>
      </c>
    </row>
    <row r="233" spans="1:3" x14ac:dyDescent="0.25">
      <c r="A233" s="2" t="s">
        <v>155</v>
      </c>
      <c r="B233" t="s">
        <v>77</v>
      </c>
      <c r="C233" s="2" t="s">
        <v>78</v>
      </c>
    </row>
    <row r="234" spans="1:3" x14ac:dyDescent="0.25">
      <c r="A234" s="2" t="s">
        <v>156</v>
      </c>
      <c r="B234" t="s">
        <v>40</v>
      </c>
      <c r="C234" t="b">
        <v>0</v>
      </c>
    </row>
    <row r="235" spans="1:3" x14ac:dyDescent="0.25">
      <c r="A235" s="2" t="s">
        <v>156</v>
      </c>
      <c r="B235" t="s">
        <v>41</v>
      </c>
      <c r="C235" s="2" t="s">
        <v>50</v>
      </c>
    </row>
    <row r="236" spans="1:3" x14ac:dyDescent="0.25">
      <c r="A236" s="2" t="s">
        <v>156</v>
      </c>
      <c r="B236" t="s">
        <v>76</v>
      </c>
      <c r="C236" s="2" t="s">
        <v>300</v>
      </c>
    </row>
    <row r="237" spans="1:3" x14ac:dyDescent="0.25">
      <c r="A237" s="2" t="s">
        <v>156</v>
      </c>
      <c r="B237" t="s">
        <v>44</v>
      </c>
      <c r="C237">
        <v>10.86</v>
      </c>
    </row>
    <row r="238" spans="1:3" x14ac:dyDescent="0.25">
      <c r="A238" s="2" t="s">
        <v>156</v>
      </c>
      <c r="B238" t="s">
        <v>77</v>
      </c>
      <c r="C238" s="2" t="s">
        <v>78</v>
      </c>
    </row>
    <row r="239" spans="1:3" x14ac:dyDescent="0.25">
      <c r="A239" s="2" t="s">
        <v>27</v>
      </c>
      <c r="B239" t="s">
        <v>40</v>
      </c>
      <c r="C239" t="b">
        <v>0</v>
      </c>
    </row>
    <row r="240" spans="1:3" x14ac:dyDescent="0.25">
      <c r="A240" s="2" t="s">
        <v>27</v>
      </c>
      <c r="B240" t="s">
        <v>41</v>
      </c>
      <c r="C240" s="2" t="s">
        <v>51</v>
      </c>
    </row>
    <row r="241" spans="1:3" x14ac:dyDescent="0.25">
      <c r="A241" s="2" t="s">
        <v>27</v>
      </c>
      <c r="B241" t="s">
        <v>76</v>
      </c>
      <c r="C241" s="2" t="s">
        <v>301</v>
      </c>
    </row>
    <row r="242" spans="1:3" x14ac:dyDescent="0.25">
      <c r="A242" s="2" t="s">
        <v>27</v>
      </c>
      <c r="B242" t="s">
        <v>44</v>
      </c>
      <c r="C242">
        <v>20.71</v>
      </c>
    </row>
    <row r="243" spans="1:3" x14ac:dyDescent="0.25">
      <c r="A243" s="2" t="s">
        <v>27</v>
      </c>
      <c r="B243" t="s">
        <v>77</v>
      </c>
      <c r="C243" s="2" t="s">
        <v>79</v>
      </c>
    </row>
    <row r="244" spans="1:3" x14ac:dyDescent="0.25">
      <c r="A244" s="2" t="s">
        <v>154</v>
      </c>
      <c r="B244" t="s">
        <v>184</v>
      </c>
      <c r="C244" s="2" t="s">
        <v>521</v>
      </c>
    </row>
    <row r="245" spans="1:3" x14ac:dyDescent="0.25">
      <c r="A245" s="2" t="s">
        <v>154</v>
      </c>
      <c r="B245" t="s">
        <v>186</v>
      </c>
      <c r="C245">
        <v>3</v>
      </c>
    </row>
    <row r="246" spans="1:3" x14ac:dyDescent="0.25">
      <c r="A246" s="2" t="s">
        <v>154</v>
      </c>
      <c r="B246" t="s">
        <v>187</v>
      </c>
      <c r="C246">
        <v>7</v>
      </c>
    </row>
    <row r="247" spans="1:3" x14ac:dyDescent="0.25">
      <c r="A247" s="2" t="s">
        <v>154</v>
      </c>
      <c r="B247" t="s">
        <v>188</v>
      </c>
      <c r="C247">
        <v>1</v>
      </c>
    </row>
    <row r="248" spans="1:3" x14ac:dyDescent="0.25">
      <c r="A248" s="2" t="s">
        <v>154</v>
      </c>
      <c r="B248" t="s">
        <v>190</v>
      </c>
      <c r="C248">
        <v>7039480</v>
      </c>
    </row>
    <row r="249" spans="1:3" x14ac:dyDescent="0.25">
      <c r="A249" s="2" t="s">
        <v>154</v>
      </c>
      <c r="B249" t="s">
        <v>191</v>
      </c>
      <c r="C249">
        <v>5</v>
      </c>
    </row>
    <row r="250" spans="1:3" x14ac:dyDescent="0.25">
      <c r="A250" s="2" t="s">
        <v>154</v>
      </c>
      <c r="B250" t="s">
        <v>192</v>
      </c>
      <c r="C250">
        <v>50</v>
      </c>
    </row>
    <row r="251" spans="1:3" x14ac:dyDescent="0.25">
      <c r="A251" s="2" t="s">
        <v>154</v>
      </c>
      <c r="B251" t="s">
        <v>193</v>
      </c>
      <c r="C251">
        <v>8711167</v>
      </c>
    </row>
    <row r="252" spans="1:3" x14ac:dyDescent="0.25">
      <c r="A252" s="2" t="s">
        <v>154</v>
      </c>
      <c r="B252" t="s">
        <v>194</v>
      </c>
      <c r="C252">
        <v>2</v>
      </c>
    </row>
    <row r="253" spans="1:3" x14ac:dyDescent="0.25">
      <c r="A253" s="2" t="s">
        <v>154</v>
      </c>
      <c r="B253" t="s">
        <v>195</v>
      </c>
      <c r="C253">
        <v>120000</v>
      </c>
    </row>
    <row r="254" spans="1:3" x14ac:dyDescent="0.25">
      <c r="A254" s="2" t="s">
        <v>154</v>
      </c>
      <c r="B254" t="s">
        <v>196</v>
      </c>
      <c r="C254">
        <v>8109667</v>
      </c>
    </row>
    <row r="255" spans="1:3" x14ac:dyDescent="0.25">
      <c r="A255" s="2" t="s">
        <v>32</v>
      </c>
      <c r="B255" t="s">
        <v>63</v>
      </c>
      <c r="C255" t="b">
        <v>0</v>
      </c>
    </row>
    <row r="256" spans="1:3" x14ac:dyDescent="0.25">
      <c r="A256" s="2" t="s">
        <v>32</v>
      </c>
      <c r="B256" t="s">
        <v>64</v>
      </c>
      <c r="C256" t="b">
        <v>1</v>
      </c>
    </row>
    <row r="257" spans="1:11" x14ac:dyDescent="0.25">
      <c r="A257" s="2" t="s">
        <v>32</v>
      </c>
      <c r="B257" t="s">
        <v>65</v>
      </c>
      <c r="C257" t="b">
        <v>1</v>
      </c>
    </row>
    <row r="258" spans="1:11" x14ac:dyDescent="0.25">
      <c r="A258" s="2" t="s">
        <v>32</v>
      </c>
      <c r="B258" t="s">
        <v>66</v>
      </c>
      <c r="C258">
        <v>0</v>
      </c>
    </row>
    <row r="259" spans="1:11" x14ac:dyDescent="0.25">
      <c r="A259" s="2" t="s">
        <v>32</v>
      </c>
      <c r="B259" t="s">
        <v>67</v>
      </c>
      <c r="C259">
        <v>-2</v>
      </c>
    </row>
    <row r="260" spans="1:11" x14ac:dyDescent="0.25">
      <c r="A260" s="2" t="s">
        <v>32</v>
      </c>
      <c r="B260" t="s">
        <v>68</v>
      </c>
      <c r="C260">
        <v>1</v>
      </c>
    </row>
    <row r="261" spans="1:11" x14ac:dyDescent="0.25">
      <c r="A261" s="2" t="s">
        <v>32</v>
      </c>
      <c r="B261" t="s">
        <v>69</v>
      </c>
      <c r="C261">
        <v>100</v>
      </c>
    </row>
    <row r="262" spans="1:11" x14ac:dyDescent="0.25">
      <c r="A262" t="s">
        <v>294</v>
      </c>
    </row>
    <row r="263" spans="1:11" x14ac:dyDescent="0.25">
      <c r="A263" t="s">
        <v>302</v>
      </c>
    </row>
    <row r="264" spans="1:11" x14ac:dyDescent="0.25">
      <c r="D264" t="s">
        <v>14</v>
      </c>
      <c r="E264" t="s">
        <v>230</v>
      </c>
      <c r="G264" t="s">
        <v>231</v>
      </c>
      <c r="J264" t="s">
        <v>232</v>
      </c>
      <c r="K264" t="s">
        <v>233</v>
      </c>
    </row>
    <row r="265" spans="1:11" x14ac:dyDescent="0.25">
      <c r="D265" t="s">
        <v>70</v>
      </c>
      <c r="E265" t="s">
        <v>234</v>
      </c>
      <c r="G265" t="s">
        <v>231</v>
      </c>
      <c r="J265" t="s">
        <v>232</v>
      </c>
      <c r="K265" t="s">
        <v>248</v>
      </c>
    </row>
    <row r="266" spans="1:11" x14ac:dyDescent="0.25">
      <c r="D266" t="s">
        <v>71</v>
      </c>
      <c r="E266" t="s">
        <v>236</v>
      </c>
      <c r="G266" t="s">
        <v>231</v>
      </c>
      <c r="J266" t="s">
        <v>232</v>
      </c>
      <c r="K266" t="s">
        <v>248</v>
      </c>
    </row>
    <row r="267" spans="1:11" x14ac:dyDescent="0.25">
      <c r="D267" t="s">
        <v>19</v>
      </c>
      <c r="E267" t="s">
        <v>237</v>
      </c>
      <c r="G267" t="s">
        <v>231</v>
      </c>
      <c r="J267" t="s">
        <v>232</v>
      </c>
      <c r="K267" t="s">
        <v>291</v>
      </c>
    </row>
    <row r="268" spans="1:11" x14ac:dyDescent="0.25">
      <c r="D268" t="s">
        <v>20</v>
      </c>
      <c r="E268" t="s">
        <v>239</v>
      </c>
      <c r="G268" t="s">
        <v>231</v>
      </c>
      <c r="J268" t="s">
        <v>232</v>
      </c>
      <c r="K268" t="s">
        <v>303</v>
      </c>
    </row>
    <row r="269" spans="1:11" x14ac:dyDescent="0.25">
      <c r="D269" t="s">
        <v>21</v>
      </c>
      <c r="E269" t="s">
        <v>241</v>
      </c>
      <c r="G269" t="s">
        <v>231</v>
      </c>
      <c r="J269" t="s">
        <v>232</v>
      </c>
      <c r="K269" t="s">
        <v>248</v>
      </c>
    </row>
    <row r="270" spans="1:11" x14ac:dyDescent="0.25">
      <c r="D270" t="s">
        <v>72</v>
      </c>
      <c r="E270" t="s">
        <v>242</v>
      </c>
      <c r="G270" t="s">
        <v>231</v>
      </c>
      <c r="J270" t="s">
        <v>232</v>
      </c>
      <c r="K270" t="s">
        <v>291</v>
      </c>
    </row>
    <row r="271" spans="1:11" x14ac:dyDescent="0.25">
      <c r="D271" t="s">
        <v>73</v>
      </c>
      <c r="E271" t="s">
        <v>243</v>
      </c>
      <c r="G271" t="s">
        <v>231</v>
      </c>
      <c r="J271" t="s">
        <v>232</v>
      </c>
      <c r="K271" t="s">
        <v>291</v>
      </c>
    </row>
    <row r="272" spans="1:11" x14ac:dyDescent="0.25">
      <c r="D272" t="s">
        <v>74</v>
      </c>
      <c r="E272" t="s">
        <v>244</v>
      </c>
      <c r="G272" t="s">
        <v>231</v>
      </c>
      <c r="J272" t="s">
        <v>232</v>
      </c>
      <c r="K272" t="s">
        <v>304</v>
      </c>
    </row>
    <row r="273" spans="4:11" x14ac:dyDescent="0.25">
      <c r="D273" t="s">
        <v>25</v>
      </c>
      <c r="E273" t="s">
        <v>246</v>
      </c>
      <c r="G273" t="s">
        <v>231</v>
      </c>
      <c r="J273" t="s">
        <v>232</v>
      </c>
      <c r="K273" t="s">
        <v>303</v>
      </c>
    </row>
    <row r="274" spans="4:11" x14ac:dyDescent="0.25">
      <c r="D274" t="s">
        <v>80</v>
      </c>
      <c r="E274" t="s">
        <v>247</v>
      </c>
      <c r="G274" t="s">
        <v>231</v>
      </c>
      <c r="J274" t="s">
        <v>232</v>
      </c>
      <c r="K274" t="s">
        <v>250</v>
      </c>
    </row>
    <row r="275" spans="4:11" x14ac:dyDescent="0.25">
      <c r="D275" t="s">
        <v>81</v>
      </c>
      <c r="E275" t="s">
        <v>249</v>
      </c>
      <c r="G275" t="s">
        <v>231</v>
      </c>
      <c r="J275" t="s">
        <v>232</v>
      </c>
      <c r="K275" t="s">
        <v>250</v>
      </c>
    </row>
    <row r="276" spans="4:11" x14ac:dyDescent="0.25">
      <c r="D276" t="s">
        <v>82</v>
      </c>
      <c r="E276" t="s">
        <v>305</v>
      </c>
      <c r="G276" t="s">
        <v>231</v>
      </c>
      <c r="J276" t="s">
        <v>232</v>
      </c>
      <c r="K276" t="s">
        <v>306</v>
      </c>
    </row>
    <row r="277" spans="4:11" x14ac:dyDescent="0.25">
      <c r="D277" t="s">
        <v>83</v>
      </c>
      <c r="E277" t="s">
        <v>307</v>
      </c>
      <c r="G277" t="s">
        <v>231</v>
      </c>
      <c r="J277" t="s">
        <v>232</v>
      </c>
      <c r="K277" t="s">
        <v>308</v>
      </c>
    </row>
    <row r="278" spans="4:11" x14ac:dyDescent="0.25">
      <c r="D278" t="s">
        <v>84</v>
      </c>
      <c r="E278" t="s">
        <v>309</v>
      </c>
      <c r="G278" t="s">
        <v>231</v>
      </c>
      <c r="J278" t="s">
        <v>232</v>
      </c>
      <c r="K278" t="s">
        <v>235</v>
      </c>
    </row>
    <row r="279" spans="4:11" x14ac:dyDescent="0.25">
      <c r="D279" t="s">
        <v>85</v>
      </c>
      <c r="E279" t="s">
        <v>310</v>
      </c>
      <c r="G279" t="s">
        <v>231</v>
      </c>
      <c r="J279" t="s">
        <v>232</v>
      </c>
      <c r="K279" t="s">
        <v>250</v>
      </c>
    </row>
    <row r="280" spans="4:11" x14ac:dyDescent="0.25">
      <c r="D280" t="s">
        <v>86</v>
      </c>
      <c r="E280" t="s">
        <v>311</v>
      </c>
      <c r="G280" t="s">
        <v>231</v>
      </c>
      <c r="J280" t="s">
        <v>232</v>
      </c>
      <c r="K280" t="s">
        <v>270</v>
      </c>
    </row>
    <row r="281" spans="4:11" x14ac:dyDescent="0.25">
      <c r="D281" t="s">
        <v>87</v>
      </c>
      <c r="E281" t="s">
        <v>312</v>
      </c>
      <c r="G281" t="s">
        <v>231</v>
      </c>
      <c r="J281" t="s">
        <v>232</v>
      </c>
      <c r="K281" t="s">
        <v>313</v>
      </c>
    </row>
    <row r="282" spans="4:11" x14ac:dyDescent="0.25">
      <c r="D282" t="s">
        <v>88</v>
      </c>
      <c r="E282" t="s">
        <v>314</v>
      </c>
      <c r="G282" t="s">
        <v>231</v>
      </c>
      <c r="J282" t="s">
        <v>232</v>
      </c>
      <c r="K282" t="s">
        <v>268</v>
      </c>
    </row>
    <row r="283" spans="4:11" x14ac:dyDescent="0.25">
      <c r="D283" t="s">
        <v>89</v>
      </c>
      <c r="E283" t="s">
        <v>315</v>
      </c>
      <c r="G283" t="s">
        <v>231</v>
      </c>
      <c r="J283" t="s">
        <v>232</v>
      </c>
      <c r="K283" t="s">
        <v>316</v>
      </c>
    </row>
    <row r="284" spans="4:11" x14ac:dyDescent="0.25">
      <c r="D284" t="s">
        <v>90</v>
      </c>
      <c r="E284" t="s">
        <v>317</v>
      </c>
      <c r="G284" t="s">
        <v>231</v>
      </c>
      <c r="J284" t="s">
        <v>232</v>
      </c>
      <c r="K284" t="s">
        <v>291</v>
      </c>
    </row>
    <row r="285" spans="4:11" x14ac:dyDescent="0.25">
      <c r="D285" t="s">
        <v>91</v>
      </c>
      <c r="E285" t="s">
        <v>318</v>
      </c>
      <c r="G285" t="s">
        <v>231</v>
      </c>
      <c r="J285" t="s">
        <v>232</v>
      </c>
      <c r="K285" t="s">
        <v>288</v>
      </c>
    </row>
    <row r="286" spans="4:11" x14ac:dyDescent="0.25">
      <c r="D286" t="s">
        <v>92</v>
      </c>
      <c r="E286" t="s">
        <v>319</v>
      </c>
      <c r="G286" t="s">
        <v>231</v>
      </c>
      <c r="J286" t="s">
        <v>232</v>
      </c>
      <c r="K286" t="s">
        <v>320</v>
      </c>
    </row>
    <row r="287" spans="4:11" x14ac:dyDescent="0.25">
      <c r="D287" t="s">
        <v>93</v>
      </c>
      <c r="E287" t="s">
        <v>321</v>
      </c>
      <c r="G287" t="s">
        <v>231</v>
      </c>
      <c r="J287" t="s">
        <v>232</v>
      </c>
      <c r="K287" t="s">
        <v>271</v>
      </c>
    </row>
    <row r="288" spans="4:11" x14ac:dyDescent="0.25">
      <c r="D288" t="s">
        <v>94</v>
      </c>
      <c r="E288" t="s">
        <v>322</v>
      </c>
      <c r="G288" t="s">
        <v>231</v>
      </c>
      <c r="J288" t="s">
        <v>232</v>
      </c>
      <c r="K288" t="s">
        <v>323</v>
      </c>
    </row>
    <row r="289" spans="4:11" x14ac:dyDescent="0.25">
      <c r="D289" t="s">
        <v>95</v>
      </c>
      <c r="E289" t="s">
        <v>324</v>
      </c>
      <c r="G289" t="s">
        <v>231</v>
      </c>
      <c r="J289" t="s">
        <v>232</v>
      </c>
      <c r="K289" t="s">
        <v>325</v>
      </c>
    </row>
    <row r="290" spans="4:11" x14ac:dyDescent="0.25">
      <c r="D290" t="s">
        <v>96</v>
      </c>
      <c r="E290" t="s">
        <v>326</v>
      </c>
      <c r="G290" t="s">
        <v>231</v>
      </c>
      <c r="J290" t="s">
        <v>232</v>
      </c>
      <c r="K290" t="s">
        <v>270</v>
      </c>
    </row>
    <row r="291" spans="4:11" x14ac:dyDescent="0.25">
      <c r="D291" t="s">
        <v>97</v>
      </c>
      <c r="E291" t="s">
        <v>327</v>
      </c>
      <c r="G291" t="s">
        <v>231</v>
      </c>
      <c r="J291" t="s">
        <v>232</v>
      </c>
      <c r="K291" t="s">
        <v>270</v>
      </c>
    </row>
    <row r="292" spans="4:11" x14ac:dyDescent="0.25">
      <c r="D292" t="s">
        <v>98</v>
      </c>
      <c r="E292" t="s">
        <v>328</v>
      </c>
      <c r="G292" t="s">
        <v>231</v>
      </c>
      <c r="J292" t="s">
        <v>232</v>
      </c>
      <c r="K292" t="s">
        <v>289</v>
      </c>
    </row>
    <row r="293" spans="4:11" x14ac:dyDescent="0.25">
      <c r="D293" t="s">
        <v>99</v>
      </c>
      <c r="E293" t="s">
        <v>329</v>
      </c>
      <c r="G293" t="s">
        <v>231</v>
      </c>
      <c r="J293" t="s">
        <v>232</v>
      </c>
      <c r="K293" t="s">
        <v>304</v>
      </c>
    </row>
    <row r="294" spans="4:11" x14ac:dyDescent="0.25">
      <c r="D294" t="s">
        <v>100</v>
      </c>
      <c r="E294" t="s">
        <v>330</v>
      </c>
      <c r="G294" t="s">
        <v>231</v>
      </c>
      <c r="J294" t="s">
        <v>232</v>
      </c>
      <c r="K294" t="s">
        <v>313</v>
      </c>
    </row>
    <row r="295" spans="4:11" x14ac:dyDescent="0.25">
      <c r="D295" t="s">
        <v>101</v>
      </c>
      <c r="E295" t="s">
        <v>331</v>
      </c>
      <c r="G295" t="s">
        <v>231</v>
      </c>
      <c r="J295" t="s">
        <v>232</v>
      </c>
      <c r="K295" t="s">
        <v>313</v>
      </c>
    </row>
    <row r="296" spans="4:11" x14ac:dyDescent="0.25">
      <c r="D296" t="s">
        <v>102</v>
      </c>
      <c r="E296" t="s">
        <v>332</v>
      </c>
      <c r="G296" t="s">
        <v>231</v>
      </c>
      <c r="J296" t="s">
        <v>232</v>
      </c>
      <c r="K296" t="s">
        <v>320</v>
      </c>
    </row>
    <row r="297" spans="4:11" x14ac:dyDescent="0.25">
      <c r="D297" t="s">
        <v>103</v>
      </c>
      <c r="E297" t="s">
        <v>333</v>
      </c>
      <c r="G297" t="s">
        <v>231</v>
      </c>
      <c r="J297" t="s">
        <v>232</v>
      </c>
      <c r="K297" t="s">
        <v>248</v>
      </c>
    </row>
    <row r="298" spans="4:11" x14ac:dyDescent="0.25">
      <c r="D298" t="s">
        <v>104</v>
      </c>
      <c r="E298" t="s">
        <v>334</v>
      </c>
      <c r="G298" t="s">
        <v>231</v>
      </c>
      <c r="J298" t="s">
        <v>232</v>
      </c>
      <c r="K298" t="s">
        <v>250</v>
      </c>
    </row>
    <row r="299" spans="4:11" x14ac:dyDescent="0.25">
      <c r="D299" t="s">
        <v>105</v>
      </c>
      <c r="E299" t="s">
        <v>335</v>
      </c>
      <c r="G299" t="s">
        <v>231</v>
      </c>
      <c r="J299" t="s">
        <v>232</v>
      </c>
      <c r="K299" t="s">
        <v>248</v>
      </c>
    </row>
    <row r="300" spans="4:11" x14ac:dyDescent="0.25">
      <c r="D300" t="s">
        <v>106</v>
      </c>
      <c r="E300" t="s">
        <v>336</v>
      </c>
      <c r="G300" t="s">
        <v>231</v>
      </c>
      <c r="J300" t="s">
        <v>232</v>
      </c>
      <c r="K300" t="s">
        <v>248</v>
      </c>
    </row>
    <row r="301" spans="4:11" x14ac:dyDescent="0.25">
      <c r="D301" t="s">
        <v>107</v>
      </c>
      <c r="E301" t="s">
        <v>337</v>
      </c>
      <c r="G301" t="s">
        <v>231</v>
      </c>
      <c r="J301" t="s">
        <v>232</v>
      </c>
      <c r="K301" t="s">
        <v>320</v>
      </c>
    </row>
    <row r="302" spans="4:11" x14ac:dyDescent="0.25">
      <c r="D302" t="s">
        <v>108</v>
      </c>
      <c r="E302" t="s">
        <v>338</v>
      </c>
      <c r="G302" t="s">
        <v>231</v>
      </c>
      <c r="J302" t="s">
        <v>232</v>
      </c>
      <c r="K302" t="s">
        <v>271</v>
      </c>
    </row>
    <row r="303" spans="4:11" x14ac:dyDescent="0.25">
      <c r="D303" t="s">
        <v>109</v>
      </c>
      <c r="E303" t="s">
        <v>339</v>
      </c>
      <c r="G303" t="s">
        <v>231</v>
      </c>
      <c r="J303" t="s">
        <v>232</v>
      </c>
      <c r="K303" t="s">
        <v>250</v>
      </c>
    </row>
    <row r="304" spans="4:11" x14ac:dyDescent="0.25">
      <c r="D304" t="s">
        <v>110</v>
      </c>
      <c r="E304" t="s">
        <v>340</v>
      </c>
      <c r="G304" t="s">
        <v>231</v>
      </c>
      <c r="J304" t="s">
        <v>232</v>
      </c>
      <c r="K304" t="s">
        <v>250</v>
      </c>
    </row>
    <row r="305" spans="1:11" x14ac:dyDescent="0.25">
      <c r="D305" t="s">
        <v>111</v>
      </c>
      <c r="E305" t="s">
        <v>341</v>
      </c>
      <c r="G305" t="s">
        <v>231</v>
      </c>
      <c r="J305" t="s">
        <v>232</v>
      </c>
      <c r="K305" t="s">
        <v>306</v>
      </c>
    </row>
    <row r="306" spans="1:11" x14ac:dyDescent="0.25">
      <c r="D306" t="s">
        <v>112</v>
      </c>
      <c r="E306" t="s">
        <v>342</v>
      </c>
      <c r="G306" t="s">
        <v>231</v>
      </c>
      <c r="J306" t="s">
        <v>232</v>
      </c>
      <c r="K306" t="s">
        <v>325</v>
      </c>
    </row>
    <row r="307" spans="1:11" x14ac:dyDescent="0.25">
      <c r="D307" t="s">
        <v>113</v>
      </c>
      <c r="E307" t="s">
        <v>343</v>
      </c>
      <c r="G307" t="s">
        <v>231</v>
      </c>
      <c r="J307" t="s">
        <v>232</v>
      </c>
      <c r="K307" t="s">
        <v>344</v>
      </c>
    </row>
    <row r="308" spans="1:11" x14ac:dyDescent="0.25">
      <c r="D308" t="s">
        <v>114</v>
      </c>
      <c r="E308" t="s">
        <v>345</v>
      </c>
      <c r="G308" t="s">
        <v>231</v>
      </c>
      <c r="J308" t="s">
        <v>232</v>
      </c>
      <c r="K308" t="s">
        <v>303</v>
      </c>
    </row>
    <row r="309" spans="1:11" x14ac:dyDescent="0.25">
      <c r="D309" t="s">
        <v>115</v>
      </c>
      <c r="E309" t="s">
        <v>346</v>
      </c>
      <c r="G309" t="s">
        <v>231</v>
      </c>
      <c r="J309" t="s">
        <v>232</v>
      </c>
      <c r="K309" t="s">
        <v>290</v>
      </c>
    </row>
    <row r="310" spans="1:11" x14ac:dyDescent="0.25">
      <c r="D310" t="s">
        <v>116</v>
      </c>
      <c r="E310" t="s">
        <v>347</v>
      </c>
      <c r="G310" t="s">
        <v>231</v>
      </c>
      <c r="J310" t="s">
        <v>232</v>
      </c>
      <c r="K310" t="s">
        <v>248</v>
      </c>
    </row>
    <row r="311" spans="1:11" x14ac:dyDescent="0.25">
      <c r="D311" t="s">
        <v>117</v>
      </c>
      <c r="E311" t="s">
        <v>348</v>
      </c>
      <c r="G311" t="s">
        <v>231</v>
      </c>
      <c r="J311" t="s">
        <v>232</v>
      </c>
      <c r="K311" t="s">
        <v>306</v>
      </c>
    </row>
    <row r="312" spans="1:11" x14ac:dyDescent="0.25">
      <c r="D312" t="s">
        <v>118</v>
      </c>
      <c r="E312" t="s">
        <v>349</v>
      </c>
      <c r="G312" t="s">
        <v>231</v>
      </c>
      <c r="J312" t="s">
        <v>232</v>
      </c>
      <c r="K312" t="s">
        <v>288</v>
      </c>
    </row>
    <row r="313" spans="1:11" x14ac:dyDescent="0.25">
      <c r="D313" t="s">
        <v>27</v>
      </c>
      <c r="E313" t="s">
        <v>233</v>
      </c>
      <c r="G313" t="s">
        <v>231</v>
      </c>
      <c r="J313" t="s">
        <v>232</v>
      </c>
      <c r="K313" t="s">
        <v>344</v>
      </c>
    </row>
    <row r="314" spans="1:11" x14ac:dyDescent="0.25">
      <c r="D314" t="s">
        <v>28</v>
      </c>
      <c r="E314" t="s">
        <v>350</v>
      </c>
      <c r="G314" t="s">
        <v>231</v>
      </c>
      <c r="J314" t="s">
        <v>232</v>
      </c>
      <c r="K314" t="s">
        <v>271</v>
      </c>
    </row>
    <row r="315" spans="1:11" x14ac:dyDescent="0.25">
      <c r="A315" t="s">
        <v>351</v>
      </c>
    </row>
    <row r="316" spans="1:11" x14ac:dyDescent="0.25">
      <c r="A316" t="s">
        <v>352</v>
      </c>
    </row>
    <row r="317" spans="1:11" x14ac:dyDescent="0.25">
      <c r="A317" s="2" t="s">
        <v>32</v>
      </c>
      <c r="B317" t="s">
        <v>33</v>
      </c>
      <c r="C317" s="2" t="s">
        <v>170</v>
      </c>
    </row>
    <row r="318" spans="1:11" x14ac:dyDescent="0.25">
      <c r="A318" s="2" t="s">
        <v>32</v>
      </c>
      <c r="B318" t="s">
        <v>34</v>
      </c>
      <c r="C318" t="b">
        <v>0</v>
      </c>
    </row>
    <row r="319" spans="1:11" x14ac:dyDescent="0.25">
      <c r="A319" s="2" t="s">
        <v>32</v>
      </c>
      <c r="B319" t="s">
        <v>35</v>
      </c>
      <c r="C319" s="2" t="s">
        <v>75</v>
      </c>
    </row>
    <row r="320" spans="1:11" x14ac:dyDescent="0.25">
      <c r="A320" s="2" t="s">
        <v>32</v>
      </c>
      <c r="B320" t="s">
        <v>36</v>
      </c>
      <c r="C320" t="b">
        <v>0</v>
      </c>
    </row>
    <row r="321" spans="1:3" x14ac:dyDescent="0.25">
      <c r="A321" s="2" t="s">
        <v>32</v>
      </c>
      <c r="B321" t="s">
        <v>37</v>
      </c>
      <c r="C321" t="b">
        <v>0</v>
      </c>
    </row>
    <row r="322" spans="1:3" x14ac:dyDescent="0.25">
      <c r="A322" s="2" t="s">
        <v>32</v>
      </c>
      <c r="B322" t="s">
        <v>38</v>
      </c>
      <c r="C322" t="b">
        <v>0</v>
      </c>
    </row>
    <row r="323" spans="1:3" x14ac:dyDescent="0.25">
      <c r="A323" s="2" t="s">
        <v>32</v>
      </c>
      <c r="B323" t="s">
        <v>39</v>
      </c>
      <c r="C323" t="b">
        <v>0</v>
      </c>
    </row>
    <row r="324" spans="1:3" x14ac:dyDescent="0.25">
      <c r="A324" s="2" t="s">
        <v>9</v>
      </c>
      <c r="B324" t="s">
        <v>40</v>
      </c>
      <c r="C324" t="b">
        <v>1</v>
      </c>
    </row>
    <row r="325" spans="1:3" x14ac:dyDescent="0.25">
      <c r="A325" s="2" t="s">
        <v>9</v>
      </c>
      <c r="B325" t="s">
        <v>41</v>
      </c>
      <c r="C325" s="2" t="s">
        <v>42</v>
      </c>
    </row>
    <row r="326" spans="1:3" x14ac:dyDescent="0.25">
      <c r="A326" s="2" t="s">
        <v>14</v>
      </c>
      <c r="B326" t="s">
        <v>40</v>
      </c>
      <c r="C326" t="b">
        <v>0</v>
      </c>
    </row>
    <row r="327" spans="1:3" x14ac:dyDescent="0.25">
      <c r="A327" s="2" t="s">
        <v>14</v>
      </c>
      <c r="B327" t="s">
        <v>41</v>
      </c>
      <c r="C327" s="2" t="s">
        <v>43</v>
      </c>
    </row>
    <row r="328" spans="1:3" x14ac:dyDescent="0.25">
      <c r="A328" s="2" t="s">
        <v>14</v>
      </c>
      <c r="B328" t="s">
        <v>44</v>
      </c>
      <c r="C328">
        <v>6.86</v>
      </c>
    </row>
    <row r="329" spans="1:3" x14ac:dyDescent="0.25">
      <c r="A329" s="2" t="s">
        <v>70</v>
      </c>
      <c r="B329" t="s">
        <v>40</v>
      </c>
      <c r="C329" t="b">
        <v>0</v>
      </c>
    </row>
    <row r="330" spans="1:3" x14ac:dyDescent="0.25">
      <c r="A330" s="2" t="s">
        <v>70</v>
      </c>
      <c r="B330" t="s">
        <v>41</v>
      </c>
      <c r="C330" s="2" t="s">
        <v>45</v>
      </c>
    </row>
    <row r="331" spans="1:3" x14ac:dyDescent="0.25">
      <c r="A331" s="2" t="s">
        <v>70</v>
      </c>
      <c r="B331" t="s">
        <v>76</v>
      </c>
      <c r="C331" s="2" t="s">
        <v>354</v>
      </c>
    </row>
    <row r="332" spans="1:3" x14ac:dyDescent="0.25">
      <c r="A332" s="2" t="s">
        <v>70</v>
      </c>
      <c r="B332" t="s">
        <v>44</v>
      </c>
      <c r="C332">
        <v>13</v>
      </c>
    </row>
    <row r="333" spans="1:3" x14ac:dyDescent="0.25">
      <c r="A333" s="2" t="s">
        <v>70</v>
      </c>
      <c r="B333" t="s">
        <v>77</v>
      </c>
      <c r="C333" s="2" t="s">
        <v>78</v>
      </c>
    </row>
    <row r="334" spans="1:3" x14ac:dyDescent="0.25">
      <c r="A334" s="2" t="s">
        <v>71</v>
      </c>
      <c r="B334" t="s">
        <v>40</v>
      </c>
      <c r="C334" t="b">
        <v>0</v>
      </c>
    </row>
    <row r="335" spans="1:3" x14ac:dyDescent="0.25">
      <c r="A335" s="2" t="s">
        <v>71</v>
      </c>
      <c r="B335" t="s">
        <v>41</v>
      </c>
      <c r="C335" s="2" t="s">
        <v>46</v>
      </c>
    </row>
    <row r="336" spans="1:3" x14ac:dyDescent="0.25">
      <c r="A336" s="2" t="s">
        <v>71</v>
      </c>
      <c r="B336" t="s">
        <v>76</v>
      </c>
      <c r="C336" s="2" t="s">
        <v>355</v>
      </c>
    </row>
    <row r="337" spans="1:3" x14ac:dyDescent="0.25">
      <c r="A337" s="2" t="s">
        <v>71</v>
      </c>
      <c r="B337" t="s">
        <v>44</v>
      </c>
      <c r="C337">
        <v>13.29</v>
      </c>
    </row>
    <row r="338" spans="1:3" x14ac:dyDescent="0.25">
      <c r="A338" s="2" t="s">
        <v>71</v>
      </c>
      <c r="B338" t="s">
        <v>77</v>
      </c>
      <c r="C338" s="2" t="s">
        <v>79</v>
      </c>
    </row>
    <row r="339" spans="1:3" x14ac:dyDescent="0.25">
      <c r="A339" s="2" t="s">
        <v>19</v>
      </c>
      <c r="B339" t="s">
        <v>40</v>
      </c>
      <c r="C339" t="b">
        <v>0</v>
      </c>
    </row>
    <row r="340" spans="1:3" x14ac:dyDescent="0.25">
      <c r="A340" s="2" t="s">
        <v>19</v>
      </c>
      <c r="B340" t="s">
        <v>41</v>
      </c>
      <c r="C340" s="2" t="s">
        <v>47</v>
      </c>
    </row>
    <row r="341" spans="1:3" x14ac:dyDescent="0.25">
      <c r="A341" s="2" t="s">
        <v>19</v>
      </c>
      <c r="B341" t="s">
        <v>76</v>
      </c>
      <c r="C341" s="2" t="s">
        <v>356</v>
      </c>
    </row>
    <row r="342" spans="1:3" x14ac:dyDescent="0.25">
      <c r="A342" s="2" t="s">
        <v>19</v>
      </c>
      <c r="B342" t="s">
        <v>44</v>
      </c>
      <c r="C342">
        <v>6.86</v>
      </c>
    </row>
    <row r="343" spans="1:3" x14ac:dyDescent="0.25">
      <c r="A343" s="2" t="s">
        <v>19</v>
      </c>
      <c r="B343" t="s">
        <v>77</v>
      </c>
      <c r="C343" s="2" t="s">
        <v>180</v>
      </c>
    </row>
    <row r="344" spans="1:3" x14ac:dyDescent="0.25">
      <c r="A344" s="2" t="s">
        <v>20</v>
      </c>
      <c r="B344" t="s">
        <v>40</v>
      </c>
      <c r="C344" t="b">
        <v>0</v>
      </c>
    </row>
    <row r="345" spans="1:3" x14ac:dyDescent="0.25">
      <c r="A345" s="2" t="s">
        <v>20</v>
      </c>
      <c r="B345" t="s">
        <v>41</v>
      </c>
      <c r="C345" s="2" t="s">
        <v>48</v>
      </c>
    </row>
    <row r="346" spans="1:3" x14ac:dyDescent="0.25">
      <c r="A346" s="2" t="s">
        <v>20</v>
      </c>
      <c r="B346" t="s">
        <v>76</v>
      </c>
      <c r="C346" s="2" t="s">
        <v>357</v>
      </c>
    </row>
    <row r="347" spans="1:3" x14ac:dyDescent="0.25">
      <c r="A347" s="2" t="s">
        <v>20</v>
      </c>
      <c r="B347" t="s">
        <v>44</v>
      </c>
      <c r="C347">
        <v>6.86</v>
      </c>
    </row>
    <row r="348" spans="1:3" x14ac:dyDescent="0.25">
      <c r="A348" s="2" t="s">
        <v>20</v>
      </c>
      <c r="B348" t="s">
        <v>77</v>
      </c>
      <c r="C348" s="2" t="s">
        <v>181</v>
      </c>
    </row>
    <row r="349" spans="1:3" x14ac:dyDescent="0.25">
      <c r="A349" s="2" t="s">
        <v>21</v>
      </c>
      <c r="B349" t="s">
        <v>40</v>
      </c>
      <c r="C349" t="b">
        <v>0</v>
      </c>
    </row>
    <row r="350" spans="1:3" x14ac:dyDescent="0.25">
      <c r="A350" s="2" t="s">
        <v>21</v>
      </c>
      <c r="B350" t="s">
        <v>41</v>
      </c>
      <c r="C350" s="2" t="s">
        <v>49</v>
      </c>
    </row>
    <row r="351" spans="1:3" x14ac:dyDescent="0.25">
      <c r="A351" s="2" t="s">
        <v>21</v>
      </c>
      <c r="B351" t="s">
        <v>76</v>
      </c>
      <c r="C351" s="2" t="s">
        <v>358</v>
      </c>
    </row>
    <row r="352" spans="1:3" x14ac:dyDescent="0.25">
      <c r="A352" s="2" t="s">
        <v>21</v>
      </c>
      <c r="B352" t="s">
        <v>44</v>
      </c>
      <c r="C352">
        <v>13.86</v>
      </c>
    </row>
    <row r="353" spans="1:3" x14ac:dyDescent="0.25">
      <c r="A353" s="2" t="s">
        <v>21</v>
      </c>
      <c r="B353" t="s">
        <v>77</v>
      </c>
      <c r="C353" s="2" t="s">
        <v>151</v>
      </c>
    </row>
    <row r="354" spans="1:3" x14ac:dyDescent="0.25">
      <c r="A354" s="2" t="s">
        <v>72</v>
      </c>
      <c r="B354" t="s">
        <v>40</v>
      </c>
      <c r="C354" t="b">
        <v>0</v>
      </c>
    </row>
    <row r="355" spans="1:3" x14ac:dyDescent="0.25">
      <c r="A355" s="2" t="s">
        <v>72</v>
      </c>
      <c r="B355" t="s">
        <v>41</v>
      </c>
      <c r="C355" s="2" t="s">
        <v>50</v>
      </c>
    </row>
    <row r="356" spans="1:3" x14ac:dyDescent="0.25">
      <c r="A356" s="2" t="s">
        <v>72</v>
      </c>
      <c r="B356" t="s">
        <v>76</v>
      </c>
      <c r="C356" s="2" t="s">
        <v>359</v>
      </c>
    </row>
    <row r="357" spans="1:3" x14ac:dyDescent="0.25">
      <c r="A357" s="2" t="s">
        <v>72</v>
      </c>
      <c r="B357" t="s">
        <v>44</v>
      </c>
      <c r="C357">
        <v>6.86</v>
      </c>
    </row>
    <row r="358" spans="1:3" x14ac:dyDescent="0.25">
      <c r="A358" s="2" t="s">
        <v>72</v>
      </c>
      <c r="B358" t="s">
        <v>77</v>
      </c>
      <c r="C358" s="2" t="s">
        <v>180</v>
      </c>
    </row>
    <row r="359" spans="1:3" x14ac:dyDescent="0.25">
      <c r="A359" s="2" t="s">
        <v>73</v>
      </c>
      <c r="B359" t="s">
        <v>40</v>
      </c>
      <c r="C359" t="b">
        <v>0</v>
      </c>
    </row>
    <row r="360" spans="1:3" x14ac:dyDescent="0.25">
      <c r="A360" s="2" t="s">
        <v>73</v>
      </c>
      <c r="B360" t="s">
        <v>41</v>
      </c>
      <c r="C360" s="2" t="s">
        <v>51</v>
      </c>
    </row>
    <row r="361" spans="1:3" x14ac:dyDescent="0.25">
      <c r="A361" s="2" t="s">
        <v>73</v>
      </c>
      <c r="B361" t="s">
        <v>76</v>
      </c>
      <c r="C361" s="2" t="s">
        <v>360</v>
      </c>
    </row>
    <row r="362" spans="1:3" x14ac:dyDescent="0.25">
      <c r="A362" s="2" t="s">
        <v>73</v>
      </c>
      <c r="B362" t="s">
        <v>44</v>
      </c>
      <c r="C362">
        <v>6.86</v>
      </c>
    </row>
    <row r="363" spans="1:3" x14ac:dyDescent="0.25">
      <c r="A363" s="2" t="s">
        <v>73</v>
      </c>
      <c r="B363" t="s">
        <v>77</v>
      </c>
      <c r="C363" s="2" t="s">
        <v>180</v>
      </c>
    </row>
    <row r="364" spans="1:3" x14ac:dyDescent="0.25">
      <c r="A364" s="2" t="s">
        <v>74</v>
      </c>
      <c r="B364" t="s">
        <v>40</v>
      </c>
      <c r="C364" t="b">
        <v>0</v>
      </c>
    </row>
    <row r="365" spans="1:3" x14ac:dyDescent="0.25">
      <c r="A365" s="2" t="s">
        <v>74</v>
      </c>
      <c r="B365" t="s">
        <v>41</v>
      </c>
      <c r="C365" s="2" t="s">
        <v>52</v>
      </c>
    </row>
    <row r="366" spans="1:3" x14ac:dyDescent="0.25">
      <c r="A366" s="2" t="s">
        <v>74</v>
      </c>
      <c r="B366" t="s">
        <v>76</v>
      </c>
      <c r="C366" s="2" t="s">
        <v>361</v>
      </c>
    </row>
    <row r="367" spans="1:3" x14ac:dyDescent="0.25">
      <c r="A367" s="2" t="s">
        <v>74</v>
      </c>
      <c r="B367" t="s">
        <v>44</v>
      </c>
      <c r="C367">
        <v>6.86</v>
      </c>
    </row>
    <row r="368" spans="1:3" x14ac:dyDescent="0.25">
      <c r="A368" s="2" t="s">
        <v>74</v>
      </c>
      <c r="B368" t="s">
        <v>77</v>
      </c>
      <c r="C368" s="2" t="s">
        <v>180</v>
      </c>
    </row>
    <row r="369" spans="1:3" x14ac:dyDescent="0.25">
      <c r="A369" s="2" t="s">
        <v>25</v>
      </c>
      <c r="B369" t="s">
        <v>40</v>
      </c>
      <c r="C369" t="b">
        <v>0</v>
      </c>
    </row>
    <row r="370" spans="1:3" x14ac:dyDescent="0.25">
      <c r="A370" s="2" t="s">
        <v>25</v>
      </c>
      <c r="B370" t="s">
        <v>41</v>
      </c>
      <c r="C370" s="2" t="s">
        <v>53</v>
      </c>
    </row>
    <row r="371" spans="1:3" x14ac:dyDescent="0.25">
      <c r="A371" s="2" t="s">
        <v>25</v>
      </c>
      <c r="B371" t="s">
        <v>76</v>
      </c>
      <c r="C371" s="2" t="s">
        <v>362</v>
      </c>
    </row>
    <row r="372" spans="1:3" x14ac:dyDescent="0.25">
      <c r="A372" s="2" t="s">
        <v>25</v>
      </c>
      <c r="B372" t="s">
        <v>44</v>
      </c>
      <c r="C372">
        <v>9.43</v>
      </c>
    </row>
    <row r="373" spans="1:3" x14ac:dyDescent="0.25">
      <c r="A373" s="2" t="s">
        <v>25</v>
      </c>
      <c r="B373" t="s">
        <v>77</v>
      </c>
      <c r="C373" s="2" t="s">
        <v>182</v>
      </c>
    </row>
    <row r="374" spans="1:3" x14ac:dyDescent="0.25">
      <c r="A374" s="2" t="s">
        <v>80</v>
      </c>
      <c r="B374" t="s">
        <v>40</v>
      </c>
      <c r="C374" t="b">
        <v>0</v>
      </c>
    </row>
    <row r="375" spans="1:3" x14ac:dyDescent="0.25">
      <c r="A375" s="2" t="s">
        <v>80</v>
      </c>
      <c r="B375" t="s">
        <v>41</v>
      </c>
      <c r="C375" s="2" t="s">
        <v>54</v>
      </c>
    </row>
    <row r="376" spans="1:3" x14ac:dyDescent="0.25">
      <c r="A376" s="2" t="s">
        <v>80</v>
      </c>
      <c r="B376" t="s">
        <v>76</v>
      </c>
      <c r="C376" s="2" t="s">
        <v>363</v>
      </c>
    </row>
    <row r="377" spans="1:3" x14ac:dyDescent="0.25">
      <c r="A377" s="2" t="s">
        <v>80</v>
      </c>
      <c r="B377" t="s">
        <v>44</v>
      </c>
      <c r="C377">
        <v>15.14</v>
      </c>
    </row>
    <row r="378" spans="1:3" x14ac:dyDescent="0.25">
      <c r="A378" s="2" t="s">
        <v>81</v>
      </c>
      <c r="B378" t="s">
        <v>40</v>
      </c>
      <c r="C378" t="b">
        <v>0</v>
      </c>
    </row>
    <row r="379" spans="1:3" x14ac:dyDescent="0.25">
      <c r="A379" s="2" t="s">
        <v>81</v>
      </c>
      <c r="B379" t="s">
        <v>41</v>
      </c>
      <c r="C379" s="2" t="s">
        <v>55</v>
      </c>
    </row>
    <row r="380" spans="1:3" x14ac:dyDescent="0.25">
      <c r="A380" s="2" t="s">
        <v>81</v>
      </c>
      <c r="B380" t="s">
        <v>76</v>
      </c>
      <c r="C380" s="2" t="s">
        <v>364</v>
      </c>
    </row>
    <row r="381" spans="1:3" x14ac:dyDescent="0.25">
      <c r="A381" s="2" t="s">
        <v>81</v>
      </c>
      <c r="B381" t="s">
        <v>44</v>
      </c>
      <c r="C381">
        <v>9.14</v>
      </c>
    </row>
    <row r="382" spans="1:3" x14ac:dyDescent="0.25">
      <c r="A382" s="2" t="s">
        <v>81</v>
      </c>
      <c r="B382" t="s">
        <v>77</v>
      </c>
      <c r="C382" s="2" t="s">
        <v>180</v>
      </c>
    </row>
    <row r="383" spans="1:3" x14ac:dyDescent="0.25">
      <c r="A383" s="2" t="s">
        <v>82</v>
      </c>
      <c r="B383" t="s">
        <v>40</v>
      </c>
      <c r="C383" t="b">
        <v>0</v>
      </c>
    </row>
    <row r="384" spans="1:3" x14ac:dyDescent="0.25">
      <c r="A384" s="2" t="s">
        <v>82</v>
      </c>
      <c r="B384" t="s">
        <v>41</v>
      </c>
      <c r="C384" s="2" t="s">
        <v>56</v>
      </c>
    </row>
    <row r="385" spans="1:3" x14ac:dyDescent="0.25">
      <c r="A385" s="2" t="s">
        <v>82</v>
      </c>
      <c r="B385" t="s">
        <v>76</v>
      </c>
      <c r="C385" s="2" t="s">
        <v>365</v>
      </c>
    </row>
    <row r="386" spans="1:3" x14ac:dyDescent="0.25">
      <c r="A386" s="2" t="s">
        <v>82</v>
      </c>
      <c r="B386" t="s">
        <v>44</v>
      </c>
      <c r="C386">
        <v>9.57</v>
      </c>
    </row>
    <row r="387" spans="1:3" x14ac:dyDescent="0.25">
      <c r="A387" s="2" t="s">
        <v>83</v>
      </c>
      <c r="B387" t="s">
        <v>40</v>
      </c>
      <c r="C387" t="b">
        <v>0</v>
      </c>
    </row>
    <row r="388" spans="1:3" x14ac:dyDescent="0.25">
      <c r="A388" s="2" t="s">
        <v>83</v>
      </c>
      <c r="B388" t="s">
        <v>41</v>
      </c>
      <c r="C388" s="2" t="s">
        <v>57</v>
      </c>
    </row>
    <row r="389" spans="1:3" x14ac:dyDescent="0.25">
      <c r="A389" s="2" t="s">
        <v>83</v>
      </c>
      <c r="B389" t="s">
        <v>76</v>
      </c>
      <c r="C389" s="2" t="s">
        <v>366</v>
      </c>
    </row>
    <row r="390" spans="1:3" x14ac:dyDescent="0.25">
      <c r="A390" s="2" t="s">
        <v>83</v>
      </c>
      <c r="B390" t="s">
        <v>44</v>
      </c>
      <c r="C390">
        <v>8.2899999999999991</v>
      </c>
    </row>
    <row r="391" spans="1:3" x14ac:dyDescent="0.25">
      <c r="A391" s="2" t="s">
        <v>83</v>
      </c>
      <c r="B391" t="s">
        <v>77</v>
      </c>
      <c r="C391" s="2" t="s">
        <v>180</v>
      </c>
    </row>
    <row r="392" spans="1:3" x14ac:dyDescent="0.25">
      <c r="A392" s="2" t="s">
        <v>84</v>
      </c>
      <c r="B392" t="s">
        <v>40</v>
      </c>
      <c r="C392" t="b">
        <v>0</v>
      </c>
    </row>
    <row r="393" spans="1:3" x14ac:dyDescent="0.25">
      <c r="A393" s="2" t="s">
        <v>84</v>
      </c>
      <c r="B393" t="s">
        <v>41</v>
      </c>
      <c r="C393" s="2" t="s">
        <v>58</v>
      </c>
    </row>
    <row r="394" spans="1:3" x14ac:dyDescent="0.25">
      <c r="A394" s="2" t="s">
        <v>84</v>
      </c>
      <c r="B394" t="s">
        <v>76</v>
      </c>
      <c r="C394" s="2" t="s">
        <v>367</v>
      </c>
    </row>
    <row r="395" spans="1:3" x14ac:dyDescent="0.25">
      <c r="A395" s="2" t="s">
        <v>84</v>
      </c>
      <c r="B395" t="s">
        <v>44</v>
      </c>
      <c r="C395">
        <v>7.86</v>
      </c>
    </row>
    <row r="396" spans="1:3" x14ac:dyDescent="0.25">
      <c r="A396" s="2" t="s">
        <v>84</v>
      </c>
      <c r="B396" t="s">
        <v>77</v>
      </c>
      <c r="C396" s="2" t="s">
        <v>180</v>
      </c>
    </row>
    <row r="397" spans="1:3" x14ac:dyDescent="0.25">
      <c r="A397" s="2" t="s">
        <v>85</v>
      </c>
      <c r="B397" t="s">
        <v>40</v>
      </c>
      <c r="C397" t="b">
        <v>0</v>
      </c>
    </row>
    <row r="398" spans="1:3" x14ac:dyDescent="0.25">
      <c r="A398" s="2" t="s">
        <v>85</v>
      </c>
      <c r="B398" t="s">
        <v>41</v>
      </c>
      <c r="C398" s="2" t="s">
        <v>59</v>
      </c>
    </row>
    <row r="399" spans="1:3" x14ac:dyDescent="0.25">
      <c r="A399" s="2" t="s">
        <v>85</v>
      </c>
      <c r="B399" t="s">
        <v>76</v>
      </c>
      <c r="C399" s="2" t="s">
        <v>368</v>
      </c>
    </row>
    <row r="400" spans="1:3" x14ac:dyDescent="0.25">
      <c r="A400" s="2" t="s">
        <v>85</v>
      </c>
      <c r="B400" t="s">
        <v>44</v>
      </c>
      <c r="C400">
        <v>14.14</v>
      </c>
    </row>
    <row r="401" spans="1:3" x14ac:dyDescent="0.25">
      <c r="A401" s="2" t="s">
        <v>86</v>
      </c>
      <c r="B401" t="s">
        <v>40</v>
      </c>
      <c r="C401" t="b">
        <v>0</v>
      </c>
    </row>
    <row r="402" spans="1:3" x14ac:dyDescent="0.25">
      <c r="A402" s="2" t="s">
        <v>86</v>
      </c>
      <c r="B402" t="s">
        <v>41</v>
      </c>
      <c r="C402" s="2" t="s">
        <v>60</v>
      </c>
    </row>
    <row r="403" spans="1:3" x14ac:dyDescent="0.25">
      <c r="A403" s="2" t="s">
        <v>86</v>
      </c>
      <c r="B403" t="s">
        <v>76</v>
      </c>
      <c r="C403" s="2" t="s">
        <v>369</v>
      </c>
    </row>
    <row r="404" spans="1:3" x14ac:dyDescent="0.25">
      <c r="A404" s="2" t="s">
        <v>86</v>
      </c>
      <c r="B404" t="s">
        <v>44</v>
      </c>
      <c r="C404">
        <v>19.71</v>
      </c>
    </row>
    <row r="405" spans="1:3" x14ac:dyDescent="0.25">
      <c r="A405" s="2" t="s">
        <v>86</v>
      </c>
      <c r="B405" t="s">
        <v>77</v>
      </c>
      <c r="C405" s="2" t="s">
        <v>183</v>
      </c>
    </row>
    <row r="406" spans="1:3" x14ac:dyDescent="0.25">
      <c r="A406" s="2" t="s">
        <v>87</v>
      </c>
      <c r="B406" t="s">
        <v>40</v>
      </c>
      <c r="C406" t="b">
        <v>0</v>
      </c>
    </row>
    <row r="407" spans="1:3" x14ac:dyDescent="0.25">
      <c r="A407" s="2" t="s">
        <v>87</v>
      </c>
      <c r="B407" t="s">
        <v>41</v>
      </c>
      <c r="C407" s="2" t="s">
        <v>61</v>
      </c>
    </row>
    <row r="408" spans="1:3" x14ac:dyDescent="0.25">
      <c r="A408" s="2" t="s">
        <v>87</v>
      </c>
      <c r="B408" t="s">
        <v>76</v>
      </c>
      <c r="C408" s="2" t="s">
        <v>370</v>
      </c>
    </row>
    <row r="409" spans="1:3" x14ac:dyDescent="0.25">
      <c r="A409" s="2" t="s">
        <v>87</v>
      </c>
      <c r="B409" t="s">
        <v>44</v>
      </c>
      <c r="C409">
        <v>19.29</v>
      </c>
    </row>
    <row r="410" spans="1:3" x14ac:dyDescent="0.25">
      <c r="A410" s="2" t="s">
        <v>87</v>
      </c>
      <c r="B410" t="s">
        <v>77</v>
      </c>
      <c r="C410" s="2" t="s">
        <v>183</v>
      </c>
    </row>
    <row r="411" spans="1:3" x14ac:dyDescent="0.25">
      <c r="A411" s="2" t="s">
        <v>88</v>
      </c>
      <c r="B411" t="s">
        <v>40</v>
      </c>
      <c r="C411" t="b">
        <v>0</v>
      </c>
    </row>
    <row r="412" spans="1:3" x14ac:dyDescent="0.25">
      <c r="A412" s="2" t="s">
        <v>88</v>
      </c>
      <c r="B412" t="s">
        <v>41</v>
      </c>
      <c r="C412" s="2" t="s">
        <v>62</v>
      </c>
    </row>
    <row r="413" spans="1:3" x14ac:dyDescent="0.25">
      <c r="A413" s="2" t="s">
        <v>88</v>
      </c>
      <c r="B413" t="s">
        <v>76</v>
      </c>
      <c r="C413" s="2" t="s">
        <v>371</v>
      </c>
    </row>
    <row r="414" spans="1:3" x14ac:dyDescent="0.25">
      <c r="A414" s="2" t="s">
        <v>88</v>
      </c>
      <c r="B414" t="s">
        <v>44</v>
      </c>
      <c r="C414">
        <v>26.86</v>
      </c>
    </row>
    <row r="415" spans="1:3" x14ac:dyDescent="0.25">
      <c r="A415" s="2" t="s">
        <v>88</v>
      </c>
      <c r="B415" t="s">
        <v>77</v>
      </c>
      <c r="C415" s="2" t="s">
        <v>151</v>
      </c>
    </row>
    <row r="416" spans="1:3" x14ac:dyDescent="0.25">
      <c r="A416" s="2" t="s">
        <v>89</v>
      </c>
      <c r="B416" t="s">
        <v>40</v>
      </c>
      <c r="C416" t="b">
        <v>0</v>
      </c>
    </row>
    <row r="417" spans="1:3" x14ac:dyDescent="0.25">
      <c r="A417" s="2" t="s">
        <v>89</v>
      </c>
      <c r="B417" t="s">
        <v>41</v>
      </c>
      <c r="C417" s="2" t="s">
        <v>119</v>
      </c>
    </row>
    <row r="418" spans="1:3" x14ac:dyDescent="0.25">
      <c r="A418" s="2" t="s">
        <v>89</v>
      </c>
      <c r="B418" t="s">
        <v>76</v>
      </c>
      <c r="C418" s="2" t="s">
        <v>372</v>
      </c>
    </row>
    <row r="419" spans="1:3" x14ac:dyDescent="0.25">
      <c r="A419" s="2" t="s">
        <v>89</v>
      </c>
      <c r="B419" t="s">
        <v>44</v>
      </c>
      <c r="C419">
        <v>26.43</v>
      </c>
    </row>
    <row r="420" spans="1:3" x14ac:dyDescent="0.25">
      <c r="A420" s="2" t="s">
        <v>89</v>
      </c>
      <c r="B420" t="s">
        <v>77</v>
      </c>
      <c r="C420" s="2" t="s">
        <v>151</v>
      </c>
    </row>
    <row r="421" spans="1:3" x14ac:dyDescent="0.25">
      <c r="A421" s="2" t="s">
        <v>90</v>
      </c>
      <c r="B421" t="s">
        <v>40</v>
      </c>
      <c r="C421" t="b">
        <v>0</v>
      </c>
    </row>
    <row r="422" spans="1:3" x14ac:dyDescent="0.25">
      <c r="A422" s="2" t="s">
        <v>90</v>
      </c>
      <c r="B422" t="s">
        <v>41</v>
      </c>
      <c r="C422" s="2" t="s">
        <v>120</v>
      </c>
    </row>
    <row r="423" spans="1:3" x14ac:dyDescent="0.25">
      <c r="A423" s="2" t="s">
        <v>90</v>
      </c>
      <c r="B423" t="s">
        <v>76</v>
      </c>
      <c r="C423" s="2" t="s">
        <v>373</v>
      </c>
    </row>
    <row r="424" spans="1:3" x14ac:dyDescent="0.25">
      <c r="A424" s="2" t="s">
        <v>90</v>
      </c>
      <c r="B424" t="s">
        <v>44</v>
      </c>
      <c r="C424">
        <v>6.86</v>
      </c>
    </row>
    <row r="425" spans="1:3" x14ac:dyDescent="0.25">
      <c r="A425" s="2" t="s">
        <v>90</v>
      </c>
      <c r="B425" t="s">
        <v>77</v>
      </c>
      <c r="C425" s="2" t="s">
        <v>180</v>
      </c>
    </row>
    <row r="426" spans="1:3" x14ac:dyDescent="0.25">
      <c r="A426" s="2" t="s">
        <v>91</v>
      </c>
      <c r="B426" t="s">
        <v>40</v>
      </c>
      <c r="C426" t="b">
        <v>0</v>
      </c>
    </row>
    <row r="427" spans="1:3" x14ac:dyDescent="0.25">
      <c r="A427" s="2" t="s">
        <v>91</v>
      </c>
      <c r="B427" t="s">
        <v>41</v>
      </c>
      <c r="C427" s="2" t="s">
        <v>121</v>
      </c>
    </row>
    <row r="428" spans="1:3" x14ac:dyDescent="0.25">
      <c r="A428" s="2" t="s">
        <v>91</v>
      </c>
      <c r="B428" t="s">
        <v>76</v>
      </c>
      <c r="C428" s="2" t="s">
        <v>374</v>
      </c>
    </row>
    <row r="429" spans="1:3" x14ac:dyDescent="0.25">
      <c r="A429" s="2" t="s">
        <v>91</v>
      </c>
      <c r="B429" t="s">
        <v>44</v>
      </c>
      <c r="C429">
        <v>6.86</v>
      </c>
    </row>
    <row r="430" spans="1:3" x14ac:dyDescent="0.25">
      <c r="A430" s="2" t="s">
        <v>91</v>
      </c>
      <c r="B430" t="s">
        <v>77</v>
      </c>
      <c r="C430" s="2" t="s">
        <v>180</v>
      </c>
    </row>
    <row r="431" spans="1:3" x14ac:dyDescent="0.25">
      <c r="A431" s="2" t="s">
        <v>92</v>
      </c>
      <c r="B431" t="s">
        <v>40</v>
      </c>
      <c r="C431" t="b">
        <v>0</v>
      </c>
    </row>
    <row r="432" spans="1:3" x14ac:dyDescent="0.25">
      <c r="A432" s="2" t="s">
        <v>92</v>
      </c>
      <c r="B432" t="s">
        <v>41</v>
      </c>
      <c r="C432" s="2" t="s">
        <v>122</v>
      </c>
    </row>
    <row r="433" spans="1:3" x14ac:dyDescent="0.25">
      <c r="A433" s="2" t="s">
        <v>92</v>
      </c>
      <c r="B433" t="s">
        <v>76</v>
      </c>
      <c r="C433" s="2" t="s">
        <v>375</v>
      </c>
    </row>
    <row r="434" spans="1:3" x14ac:dyDescent="0.25">
      <c r="A434" s="2" t="s">
        <v>92</v>
      </c>
      <c r="B434" t="s">
        <v>44</v>
      </c>
      <c r="C434">
        <v>16.86</v>
      </c>
    </row>
    <row r="435" spans="1:3" x14ac:dyDescent="0.25">
      <c r="A435" s="2" t="s">
        <v>92</v>
      </c>
      <c r="B435" t="s">
        <v>77</v>
      </c>
      <c r="C435" s="2" t="s">
        <v>183</v>
      </c>
    </row>
    <row r="436" spans="1:3" x14ac:dyDescent="0.25">
      <c r="A436" s="2" t="s">
        <v>93</v>
      </c>
      <c r="B436" t="s">
        <v>40</v>
      </c>
      <c r="C436" t="b">
        <v>0</v>
      </c>
    </row>
    <row r="437" spans="1:3" x14ac:dyDescent="0.25">
      <c r="A437" s="2" t="s">
        <v>93</v>
      </c>
      <c r="B437" t="s">
        <v>41</v>
      </c>
      <c r="C437" s="2" t="s">
        <v>123</v>
      </c>
    </row>
    <row r="438" spans="1:3" x14ac:dyDescent="0.25">
      <c r="A438" s="2" t="s">
        <v>93</v>
      </c>
      <c r="B438" t="s">
        <v>76</v>
      </c>
      <c r="C438" s="2" t="s">
        <v>376</v>
      </c>
    </row>
    <row r="439" spans="1:3" x14ac:dyDescent="0.25">
      <c r="A439" s="2" t="s">
        <v>93</v>
      </c>
      <c r="B439" t="s">
        <v>44</v>
      </c>
      <c r="C439">
        <v>17.86</v>
      </c>
    </row>
    <row r="440" spans="1:3" x14ac:dyDescent="0.25">
      <c r="A440" s="2" t="s">
        <v>93</v>
      </c>
      <c r="B440" t="s">
        <v>77</v>
      </c>
      <c r="C440" s="2" t="s">
        <v>183</v>
      </c>
    </row>
    <row r="441" spans="1:3" x14ac:dyDescent="0.25">
      <c r="A441" s="2" t="s">
        <v>94</v>
      </c>
      <c r="B441" t="s">
        <v>40</v>
      </c>
      <c r="C441" t="b">
        <v>0</v>
      </c>
    </row>
    <row r="442" spans="1:3" x14ac:dyDescent="0.25">
      <c r="A442" s="2" t="s">
        <v>94</v>
      </c>
      <c r="B442" t="s">
        <v>41</v>
      </c>
      <c r="C442" s="2" t="s">
        <v>124</v>
      </c>
    </row>
    <row r="443" spans="1:3" x14ac:dyDescent="0.25">
      <c r="A443" s="2" t="s">
        <v>94</v>
      </c>
      <c r="B443" t="s">
        <v>76</v>
      </c>
      <c r="C443" s="2" t="s">
        <v>377</v>
      </c>
    </row>
    <row r="444" spans="1:3" x14ac:dyDescent="0.25">
      <c r="A444" s="2" t="s">
        <v>94</v>
      </c>
      <c r="B444" t="s">
        <v>44</v>
      </c>
      <c r="C444">
        <v>23.86</v>
      </c>
    </row>
    <row r="445" spans="1:3" x14ac:dyDescent="0.25">
      <c r="A445" s="2" t="s">
        <v>94</v>
      </c>
      <c r="B445" t="s">
        <v>77</v>
      </c>
      <c r="C445" s="2" t="s">
        <v>151</v>
      </c>
    </row>
    <row r="446" spans="1:3" x14ac:dyDescent="0.25">
      <c r="A446" s="2" t="s">
        <v>95</v>
      </c>
      <c r="B446" t="s">
        <v>40</v>
      </c>
      <c r="C446" t="b">
        <v>0</v>
      </c>
    </row>
    <row r="447" spans="1:3" x14ac:dyDescent="0.25">
      <c r="A447" s="2" t="s">
        <v>95</v>
      </c>
      <c r="B447" t="s">
        <v>41</v>
      </c>
      <c r="C447" s="2" t="s">
        <v>125</v>
      </c>
    </row>
    <row r="448" spans="1:3" x14ac:dyDescent="0.25">
      <c r="A448" s="2" t="s">
        <v>95</v>
      </c>
      <c r="B448" t="s">
        <v>76</v>
      </c>
      <c r="C448" s="2" t="s">
        <v>378</v>
      </c>
    </row>
    <row r="449" spans="1:3" x14ac:dyDescent="0.25">
      <c r="A449" s="2" t="s">
        <v>95</v>
      </c>
      <c r="B449" t="s">
        <v>44</v>
      </c>
      <c r="C449">
        <v>25</v>
      </c>
    </row>
    <row r="450" spans="1:3" x14ac:dyDescent="0.25">
      <c r="A450" s="2" t="s">
        <v>95</v>
      </c>
      <c r="B450" t="s">
        <v>77</v>
      </c>
      <c r="C450" s="2" t="s">
        <v>151</v>
      </c>
    </row>
    <row r="451" spans="1:3" x14ac:dyDescent="0.25">
      <c r="A451" s="2" t="s">
        <v>96</v>
      </c>
      <c r="B451" t="s">
        <v>40</v>
      </c>
      <c r="C451" t="b">
        <v>0</v>
      </c>
    </row>
    <row r="452" spans="1:3" x14ac:dyDescent="0.25">
      <c r="A452" s="2" t="s">
        <v>96</v>
      </c>
      <c r="B452" t="s">
        <v>41</v>
      </c>
      <c r="C452" s="2" t="s">
        <v>126</v>
      </c>
    </row>
    <row r="453" spans="1:3" x14ac:dyDescent="0.25">
      <c r="A453" s="2" t="s">
        <v>96</v>
      </c>
      <c r="B453" t="s">
        <v>76</v>
      </c>
      <c r="C453" s="2" t="s">
        <v>379</v>
      </c>
    </row>
    <row r="454" spans="1:3" x14ac:dyDescent="0.25">
      <c r="A454" s="2" t="s">
        <v>96</v>
      </c>
      <c r="B454" t="s">
        <v>44</v>
      </c>
      <c r="C454">
        <v>19.29</v>
      </c>
    </row>
    <row r="455" spans="1:3" x14ac:dyDescent="0.25">
      <c r="A455" s="2" t="s">
        <v>96</v>
      </c>
      <c r="B455" t="s">
        <v>77</v>
      </c>
      <c r="C455" s="2" t="s">
        <v>182</v>
      </c>
    </row>
    <row r="456" spans="1:3" x14ac:dyDescent="0.25">
      <c r="A456" s="2" t="s">
        <v>97</v>
      </c>
      <c r="B456" t="s">
        <v>40</v>
      </c>
      <c r="C456" t="b">
        <v>0</v>
      </c>
    </row>
    <row r="457" spans="1:3" x14ac:dyDescent="0.25">
      <c r="A457" s="2" t="s">
        <v>97</v>
      </c>
      <c r="B457" t="s">
        <v>41</v>
      </c>
      <c r="C457" s="2" t="s">
        <v>127</v>
      </c>
    </row>
    <row r="458" spans="1:3" x14ac:dyDescent="0.25">
      <c r="A458" s="2" t="s">
        <v>97</v>
      </c>
      <c r="B458" t="s">
        <v>76</v>
      </c>
      <c r="C458" s="2" t="s">
        <v>380</v>
      </c>
    </row>
    <row r="459" spans="1:3" x14ac:dyDescent="0.25">
      <c r="A459" s="2" t="s">
        <v>97</v>
      </c>
      <c r="B459" t="s">
        <v>44</v>
      </c>
      <c r="C459">
        <v>18.29</v>
      </c>
    </row>
    <row r="460" spans="1:3" x14ac:dyDescent="0.25">
      <c r="A460" s="2" t="s">
        <v>97</v>
      </c>
      <c r="B460" t="s">
        <v>77</v>
      </c>
      <c r="C460" s="2" t="s">
        <v>180</v>
      </c>
    </row>
    <row r="461" spans="1:3" x14ac:dyDescent="0.25">
      <c r="A461" s="2" t="s">
        <v>98</v>
      </c>
      <c r="B461" t="s">
        <v>40</v>
      </c>
      <c r="C461" t="b">
        <v>0</v>
      </c>
    </row>
    <row r="462" spans="1:3" x14ac:dyDescent="0.25">
      <c r="A462" s="2" t="s">
        <v>98</v>
      </c>
      <c r="B462" t="s">
        <v>41</v>
      </c>
      <c r="C462" s="2" t="s">
        <v>128</v>
      </c>
    </row>
    <row r="463" spans="1:3" x14ac:dyDescent="0.25">
      <c r="A463" s="2" t="s">
        <v>98</v>
      </c>
      <c r="B463" t="s">
        <v>76</v>
      </c>
      <c r="C463" s="2" t="s">
        <v>381</v>
      </c>
    </row>
    <row r="464" spans="1:3" x14ac:dyDescent="0.25">
      <c r="A464" s="2" t="s">
        <v>98</v>
      </c>
      <c r="B464" t="s">
        <v>44</v>
      </c>
      <c r="C464">
        <v>6.29</v>
      </c>
    </row>
    <row r="465" spans="1:3" x14ac:dyDescent="0.25">
      <c r="A465" s="2" t="s">
        <v>99</v>
      </c>
      <c r="B465" t="s">
        <v>40</v>
      </c>
      <c r="C465" t="b">
        <v>0</v>
      </c>
    </row>
    <row r="466" spans="1:3" x14ac:dyDescent="0.25">
      <c r="A466" s="2" t="s">
        <v>99</v>
      </c>
      <c r="B466" t="s">
        <v>41</v>
      </c>
      <c r="C466" s="2" t="s">
        <v>129</v>
      </c>
    </row>
    <row r="467" spans="1:3" x14ac:dyDescent="0.25">
      <c r="A467" s="2" t="s">
        <v>99</v>
      </c>
      <c r="B467" t="s">
        <v>76</v>
      </c>
      <c r="C467" s="2" t="s">
        <v>382</v>
      </c>
    </row>
    <row r="468" spans="1:3" x14ac:dyDescent="0.25">
      <c r="A468" s="2" t="s">
        <v>99</v>
      </c>
      <c r="B468" t="s">
        <v>44</v>
      </c>
      <c r="C468">
        <v>4.29</v>
      </c>
    </row>
    <row r="469" spans="1:3" x14ac:dyDescent="0.25">
      <c r="A469" s="2" t="s">
        <v>100</v>
      </c>
      <c r="B469" t="s">
        <v>40</v>
      </c>
      <c r="C469" t="b">
        <v>0</v>
      </c>
    </row>
    <row r="470" spans="1:3" x14ac:dyDescent="0.25">
      <c r="A470" s="2" t="s">
        <v>100</v>
      </c>
      <c r="B470" t="s">
        <v>41</v>
      </c>
      <c r="C470" s="2" t="s">
        <v>130</v>
      </c>
    </row>
    <row r="471" spans="1:3" x14ac:dyDescent="0.25">
      <c r="A471" s="2" t="s">
        <v>100</v>
      </c>
      <c r="B471" t="s">
        <v>76</v>
      </c>
      <c r="C471" s="2" t="s">
        <v>383</v>
      </c>
    </row>
    <row r="472" spans="1:3" x14ac:dyDescent="0.25">
      <c r="A472" s="2" t="s">
        <v>100</v>
      </c>
      <c r="B472" t="s">
        <v>44</v>
      </c>
      <c r="C472">
        <v>17</v>
      </c>
    </row>
    <row r="473" spans="1:3" x14ac:dyDescent="0.25">
      <c r="A473" s="2" t="s">
        <v>101</v>
      </c>
      <c r="B473" t="s">
        <v>40</v>
      </c>
      <c r="C473" t="b">
        <v>0</v>
      </c>
    </row>
    <row r="474" spans="1:3" x14ac:dyDescent="0.25">
      <c r="A474" s="2" t="s">
        <v>101</v>
      </c>
      <c r="B474" t="s">
        <v>41</v>
      </c>
      <c r="C474" s="2" t="s">
        <v>131</v>
      </c>
    </row>
    <row r="475" spans="1:3" x14ac:dyDescent="0.25">
      <c r="A475" s="2" t="s">
        <v>101</v>
      </c>
      <c r="B475" t="s">
        <v>76</v>
      </c>
      <c r="C475" s="2" t="s">
        <v>384</v>
      </c>
    </row>
    <row r="476" spans="1:3" x14ac:dyDescent="0.25">
      <c r="A476" s="2" t="s">
        <v>101</v>
      </c>
      <c r="B476" t="s">
        <v>44</v>
      </c>
      <c r="C476">
        <v>17.43</v>
      </c>
    </row>
    <row r="477" spans="1:3" x14ac:dyDescent="0.25">
      <c r="A477" s="2" t="s">
        <v>102</v>
      </c>
      <c r="B477" t="s">
        <v>40</v>
      </c>
      <c r="C477" t="b">
        <v>0</v>
      </c>
    </row>
    <row r="478" spans="1:3" x14ac:dyDescent="0.25">
      <c r="A478" s="2" t="s">
        <v>102</v>
      </c>
      <c r="B478" t="s">
        <v>41</v>
      </c>
      <c r="C478" s="2" t="s">
        <v>132</v>
      </c>
    </row>
    <row r="479" spans="1:3" x14ac:dyDescent="0.25">
      <c r="A479" s="2" t="s">
        <v>102</v>
      </c>
      <c r="B479" t="s">
        <v>76</v>
      </c>
      <c r="C479" s="2" t="s">
        <v>385</v>
      </c>
    </row>
    <row r="480" spans="1:3" x14ac:dyDescent="0.25">
      <c r="A480" s="2" t="s">
        <v>102</v>
      </c>
      <c r="B480" t="s">
        <v>44</v>
      </c>
      <c r="C480">
        <v>14.43</v>
      </c>
    </row>
    <row r="481" spans="1:3" x14ac:dyDescent="0.25">
      <c r="A481" s="2" t="s">
        <v>103</v>
      </c>
      <c r="B481" t="s">
        <v>40</v>
      </c>
      <c r="C481" t="b">
        <v>0</v>
      </c>
    </row>
    <row r="482" spans="1:3" x14ac:dyDescent="0.25">
      <c r="A482" s="2" t="s">
        <v>103</v>
      </c>
      <c r="B482" t="s">
        <v>41</v>
      </c>
      <c r="C482" s="2" t="s">
        <v>133</v>
      </c>
    </row>
    <row r="483" spans="1:3" x14ac:dyDescent="0.25">
      <c r="A483" s="2" t="s">
        <v>103</v>
      </c>
      <c r="B483" t="s">
        <v>76</v>
      </c>
      <c r="C483" s="2" t="s">
        <v>386</v>
      </c>
    </row>
    <row r="484" spans="1:3" x14ac:dyDescent="0.25">
      <c r="A484" s="2" t="s">
        <v>103</v>
      </c>
      <c r="B484" t="s">
        <v>44</v>
      </c>
      <c r="C484">
        <v>12.86</v>
      </c>
    </row>
    <row r="485" spans="1:3" x14ac:dyDescent="0.25">
      <c r="A485" s="2" t="s">
        <v>104</v>
      </c>
      <c r="B485" t="s">
        <v>40</v>
      </c>
      <c r="C485" t="b">
        <v>0</v>
      </c>
    </row>
    <row r="486" spans="1:3" x14ac:dyDescent="0.25">
      <c r="A486" s="2" t="s">
        <v>104</v>
      </c>
      <c r="B486" t="s">
        <v>41</v>
      </c>
      <c r="C486" s="2" t="s">
        <v>134</v>
      </c>
    </row>
    <row r="487" spans="1:3" x14ac:dyDescent="0.25">
      <c r="A487" s="2" t="s">
        <v>104</v>
      </c>
      <c r="B487" t="s">
        <v>76</v>
      </c>
      <c r="C487" s="2" t="s">
        <v>387</v>
      </c>
    </row>
    <row r="488" spans="1:3" x14ac:dyDescent="0.25">
      <c r="A488" s="2" t="s">
        <v>104</v>
      </c>
      <c r="B488" t="s">
        <v>44</v>
      </c>
      <c r="C488">
        <v>10</v>
      </c>
    </row>
    <row r="489" spans="1:3" x14ac:dyDescent="0.25">
      <c r="A489" s="2" t="s">
        <v>105</v>
      </c>
      <c r="B489" t="s">
        <v>40</v>
      </c>
      <c r="C489" t="b">
        <v>0</v>
      </c>
    </row>
    <row r="490" spans="1:3" x14ac:dyDescent="0.25">
      <c r="A490" s="2" t="s">
        <v>105</v>
      </c>
      <c r="B490" t="s">
        <v>41</v>
      </c>
      <c r="C490" s="2" t="s">
        <v>135</v>
      </c>
    </row>
    <row r="491" spans="1:3" x14ac:dyDescent="0.25">
      <c r="A491" s="2" t="s">
        <v>105</v>
      </c>
      <c r="B491" t="s">
        <v>76</v>
      </c>
      <c r="C491" s="2" t="s">
        <v>388</v>
      </c>
    </row>
    <row r="492" spans="1:3" x14ac:dyDescent="0.25">
      <c r="A492" s="2" t="s">
        <v>105</v>
      </c>
      <c r="B492" t="s">
        <v>44</v>
      </c>
      <c r="C492">
        <v>13</v>
      </c>
    </row>
    <row r="493" spans="1:3" x14ac:dyDescent="0.25">
      <c r="A493" s="2" t="s">
        <v>106</v>
      </c>
      <c r="B493" t="s">
        <v>40</v>
      </c>
      <c r="C493" t="b">
        <v>0</v>
      </c>
    </row>
    <row r="494" spans="1:3" x14ac:dyDescent="0.25">
      <c r="A494" s="2" t="s">
        <v>106</v>
      </c>
      <c r="B494" t="s">
        <v>41</v>
      </c>
      <c r="C494" s="2" t="s">
        <v>136</v>
      </c>
    </row>
    <row r="495" spans="1:3" x14ac:dyDescent="0.25">
      <c r="A495" s="2" t="s">
        <v>106</v>
      </c>
      <c r="B495" t="s">
        <v>76</v>
      </c>
      <c r="C495" s="2" t="s">
        <v>389</v>
      </c>
    </row>
    <row r="496" spans="1:3" x14ac:dyDescent="0.25">
      <c r="A496" s="2" t="s">
        <v>106</v>
      </c>
      <c r="B496" t="s">
        <v>44</v>
      </c>
      <c r="C496">
        <v>13.43</v>
      </c>
    </row>
    <row r="497" spans="1:3" x14ac:dyDescent="0.25">
      <c r="A497" s="2" t="s">
        <v>107</v>
      </c>
      <c r="B497" t="s">
        <v>40</v>
      </c>
      <c r="C497" t="b">
        <v>0</v>
      </c>
    </row>
    <row r="498" spans="1:3" x14ac:dyDescent="0.25">
      <c r="A498" s="2" t="s">
        <v>107</v>
      </c>
      <c r="B498" t="s">
        <v>41</v>
      </c>
      <c r="C498" s="2" t="s">
        <v>137</v>
      </c>
    </row>
    <row r="499" spans="1:3" x14ac:dyDescent="0.25">
      <c r="A499" s="2" t="s">
        <v>107</v>
      </c>
      <c r="B499" t="s">
        <v>76</v>
      </c>
      <c r="C499" s="2" t="s">
        <v>390</v>
      </c>
    </row>
    <row r="500" spans="1:3" x14ac:dyDescent="0.25">
      <c r="A500" s="2" t="s">
        <v>107</v>
      </c>
      <c r="B500" t="s">
        <v>44</v>
      </c>
      <c r="C500">
        <v>14.57</v>
      </c>
    </row>
    <row r="501" spans="1:3" x14ac:dyDescent="0.25">
      <c r="A501" s="2" t="s">
        <v>108</v>
      </c>
      <c r="B501" t="s">
        <v>40</v>
      </c>
      <c r="C501" t="b">
        <v>0</v>
      </c>
    </row>
    <row r="502" spans="1:3" x14ac:dyDescent="0.25">
      <c r="A502" s="2" t="s">
        <v>108</v>
      </c>
      <c r="B502" t="s">
        <v>41</v>
      </c>
      <c r="C502" s="2" t="s">
        <v>138</v>
      </c>
    </row>
    <row r="503" spans="1:3" x14ac:dyDescent="0.25">
      <c r="A503" s="2" t="s">
        <v>108</v>
      </c>
      <c r="B503" t="s">
        <v>76</v>
      </c>
      <c r="C503" s="2" t="s">
        <v>391</v>
      </c>
    </row>
    <row r="504" spans="1:3" x14ac:dyDescent="0.25">
      <c r="A504" s="2" t="s">
        <v>108</v>
      </c>
      <c r="B504" t="s">
        <v>44</v>
      </c>
      <c r="C504">
        <v>15.71</v>
      </c>
    </row>
    <row r="505" spans="1:3" x14ac:dyDescent="0.25">
      <c r="A505" s="2" t="s">
        <v>109</v>
      </c>
      <c r="B505" t="s">
        <v>40</v>
      </c>
      <c r="C505" t="b">
        <v>0</v>
      </c>
    </row>
    <row r="506" spans="1:3" x14ac:dyDescent="0.25">
      <c r="A506" s="2" t="s">
        <v>109</v>
      </c>
      <c r="B506" t="s">
        <v>41</v>
      </c>
      <c r="C506" s="2" t="s">
        <v>139</v>
      </c>
    </row>
    <row r="507" spans="1:3" x14ac:dyDescent="0.25">
      <c r="A507" s="2" t="s">
        <v>109</v>
      </c>
      <c r="B507" t="s">
        <v>76</v>
      </c>
      <c r="C507" s="2" t="s">
        <v>392</v>
      </c>
    </row>
    <row r="508" spans="1:3" x14ac:dyDescent="0.25">
      <c r="A508" s="2" t="s">
        <v>109</v>
      </c>
      <c r="B508" t="s">
        <v>44</v>
      </c>
      <c r="C508">
        <v>9.86</v>
      </c>
    </row>
    <row r="509" spans="1:3" x14ac:dyDescent="0.25">
      <c r="A509" s="2" t="s">
        <v>110</v>
      </c>
      <c r="B509" t="s">
        <v>40</v>
      </c>
      <c r="C509" t="b">
        <v>0</v>
      </c>
    </row>
    <row r="510" spans="1:3" x14ac:dyDescent="0.25">
      <c r="A510" s="2" t="s">
        <v>110</v>
      </c>
      <c r="B510" t="s">
        <v>41</v>
      </c>
      <c r="C510" s="2" t="s">
        <v>140</v>
      </c>
    </row>
    <row r="511" spans="1:3" x14ac:dyDescent="0.25">
      <c r="A511" s="2" t="s">
        <v>110</v>
      </c>
      <c r="B511" t="s">
        <v>76</v>
      </c>
      <c r="C511" s="2" t="s">
        <v>393</v>
      </c>
    </row>
    <row r="512" spans="1:3" x14ac:dyDescent="0.25">
      <c r="A512" s="2" t="s">
        <v>110</v>
      </c>
      <c r="B512" t="s">
        <v>44</v>
      </c>
      <c r="C512">
        <v>9.14</v>
      </c>
    </row>
    <row r="513" spans="1:3" x14ac:dyDescent="0.25">
      <c r="A513" s="2" t="s">
        <v>111</v>
      </c>
      <c r="B513" t="s">
        <v>40</v>
      </c>
      <c r="C513" t="b">
        <v>0</v>
      </c>
    </row>
    <row r="514" spans="1:3" x14ac:dyDescent="0.25">
      <c r="A514" s="2" t="s">
        <v>111</v>
      </c>
      <c r="B514" t="s">
        <v>41</v>
      </c>
      <c r="C514" s="2" t="s">
        <v>141</v>
      </c>
    </row>
    <row r="515" spans="1:3" x14ac:dyDescent="0.25">
      <c r="A515" s="2" t="s">
        <v>111</v>
      </c>
      <c r="B515" t="s">
        <v>76</v>
      </c>
      <c r="C515" s="2" t="s">
        <v>394</v>
      </c>
    </row>
    <row r="516" spans="1:3" x14ac:dyDescent="0.25">
      <c r="A516" s="2" t="s">
        <v>111</v>
      </c>
      <c r="B516" t="s">
        <v>44</v>
      </c>
      <c r="C516">
        <v>9.2899999999999991</v>
      </c>
    </row>
    <row r="517" spans="1:3" x14ac:dyDescent="0.25">
      <c r="A517" s="2" t="s">
        <v>112</v>
      </c>
      <c r="B517" t="s">
        <v>40</v>
      </c>
      <c r="C517" t="b">
        <v>0</v>
      </c>
    </row>
    <row r="518" spans="1:3" x14ac:dyDescent="0.25">
      <c r="A518" s="2" t="s">
        <v>112</v>
      </c>
      <c r="B518" t="s">
        <v>41</v>
      </c>
      <c r="C518" s="2" t="s">
        <v>142</v>
      </c>
    </row>
    <row r="519" spans="1:3" x14ac:dyDescent="0.25">
      <c r="A519" s="2" t="s">
        <v>112</v>
      </c>
      <c r="B519" t="s">
        <v>76</v>
      </c>
      <c r="C519" s="2" t="s">
        <v>395</v>
      </c>
    </row>
    <row r="520" spans="1:3" x14ac:dyDescent="0.25">
      <c r="A520" s="2" t="s">
        <v>112</v>
      </c>
      <c r="B520" t="s">
        <v>44</v>
      </c>
      <c r="C520">
        <v>21.57</v>
      </c>
    </row>
    <row r="521" spans="1:3" x14ac:dyDescent="0.25">
      <c r="A521" s="2" t="s">
        <v>113</v>
      </c>
      <c r="B521" t="s">
        <v>40</v>
      </c>
      <c r="C521" t="b">
        <v>0</v>
      </c>
    </row>
    <row r="522" spans="1:3" x14ac:dyDescent="0.25">
      <c r="A522" s="2" t="s">
        <v>113</v>
      </c>
      <c r="B522" t="s">
        <v>41</v>
      </c>
      <c r="C522" s="2" t="s">
        <v>143</v>
      </c>
    </row>
    <row r="523" spans="1:3" x14ac:dyDescent="0.25">
      <c r="A523" s="2" t="s">
        <v>113</v>
      </c>
      <c r="B523" t="s">
        <v>76</v>
      </c>
      <c r="C523" s="2" t="s">
        <v>396</v>
      </c>
    </row>
    <row r="524" spans="1:3" x14ac:dyDescent="0.25">
      <c r="A524" s="2" t="s">
        <v>113</v>
      </c>
      <c r="B524" t="s">
        <v>44</v>
      </c>
      <c r="C524">
        <v>19</v>
      </c>
    </row>
    <row r="525" spans="1:3" x14ac:dyDescent="0.25">
      <c r="A525" s="2" t="s">
        <v>114</v>
      </c>
      <c r="B525" t="s">
        <v>40</v>
      </c>
      <c r="C525" t="b">
        <v>0</v>
      </c>
    </row>
    <row r="526" spans="1:3" x14ac:dyDescent="0.25">
      <c r="A526" s="2" t="s">
        <v>114</v>
      </c>
      <c r="B526" t="s">
        <v>41</v>
      </c>
      <c r="C526" s="2" t="s">
        <v>144</v>
      </c>
    </row>
    <row r="527" spans="1:3" x14ac:dyDescent="0.25">
      <c r="A527" s="2" t="s">
        <v>114</v>
      </c>
      <c r="B527" t="s">
        <v>76</v>
      </c>
      <c r="C527" s="2" t="s">
        <v>397</v>
      </c>
    </row>
    <row r="528" spans="1:3" x14ac:dyDescent="0.25">
      <c r="A528" s="2" t="s">
        <v>114</v>
      </c>
      <c r="B528" t="s">
        <v>44</v>
      </c>
      <c r="C528">
        <v>7</v>
      </c>
    </row>
    <row r="529" spans="1:3" x14ac:dyDescent="0.25">
      <c r="A529" s="2" t="s">
        <v>115</v>
      </c>
      <c r="B529" t="s">
        <v>40</v>
      </c>
      <c r="C529" t="b">
        <v>0</v>
      </c>
    </row>
    <row r="530" spans="1:3" x14ac:dyDescent="0.25">
      <c r="A530" s="2" t="s">
        <v>115</v>
      </c>
      <c r="B530" t="s">
        <v>41</v>
      </c>
      <c r="C530" s="2" t="s">
        <v>145</v>
      </c>
    </row>
    <row r="531" spans="1:3" x14ac:dyDescent="0.25">
      <c r="A531" s="2" t="s">
        <v>115</v>
      </c>
      <c r="B531" t="s">
        <v>76</v>
      </c>
      <c r="C531" s="2" t="s">
        <v>398</v>
      </c>
    </row>
    <row r="532" spans="1:3" x14ac:dyDescent="0.25">
      <c r="A532" s="2" t="s">
        <v>115</v>
      </c>
      <c r="B532" t="s">
        <v>44</v>
      </c>
      <c r="C532">
        <v>16.29</v>
      </c>
    </row>
    <row r="533" spans="1:3" x14ac:dyDescent="0.25">
      <c r="A533" s="2" t="s">
        <v>116</v>
      </c>
      <c r="B533" t="s">
        <v>40</v>
      </c>
      <c r="C533" t="b">
        <v>0</v>
      </c>
    </row>
    <row r="534" spans="1:3" x14ac:dyDescent="0.25">
      <c r="A534" s="2" t="s">
        <v>116</v>
      </c>
      <c r="B534" t="s">
        <v>41</v>
      </c>
      <c r="C534" s="2" t="s">
        <v>146</v>
      </c>
    </row>
    <row r="535" spans="1:3" x14ac:dyDescent="0.25">
      <c r="A535" s="2" t="s">
        <v>116</v>
      </c>
      <c r="B535" t="s">
        <v>76</v>
      </c>
      <c r="C535" s="2" t="s">
        <v>399</v>
      </c>
    </row>
    <row r="536" spans="1:3" x14ac:dyDescent="0.25">
      <c r="A536" s="2" t="s">
        <v>116</v>
      </c>
      <c r="B536" t="s">
        <v>44</v>
      </c>
      <c r="C536">
        <v>13.43</v>
      </c>
    </row>
    <row r="537" spans="1:3" x14ac:dyDescent="0.25">
      <c r="A537" s="2" t="s">
        <v>117</v>
      </c>
      <c r="B537" t="s">
        <v>40</v>
      </c>
      <c r="C537" t="b">
        <v>0</v>
      </c>
    </row>
    <row r="538" spans="1:3" x14ac:dyDescent="0.25">
      <c r="A538" s="2" t="s">
        <v>117</v>
      </c>
      <c r="B538" t="s">
        <v>41</v>
      </c>
      <c r="C538" s="2" t="s">
        <v>147</v>
      </c>
    </row>
    <row r="539" spans="1:3" x14ac:dyDescent="0.25">
      <c r="A539" s="2" t="s">
        <v>117</v>
      </c>
      <c r="B539" t="s">
        <v>76</v>
      </c>
      <c r="C539" s="2" t="s">
        <v>400</v>
      </c>
    </row>
    <row r="540" spans="1:3" x14ac:dyDescent="0.25">
      <c r="A540" s="2" t="s">
        <v>117</v>
      </c>
      <c r="B540" t="s">
        <v>44</v>
      </c>
      <c r="C540">
        <v>11.14</v>
      </c>
    </row>
    <row r="541" spans="1:3" x14ac:dyDescent="0.25">
      <c r="A541" s="2" t="s">
        <v>118</v>
      </c>
      <c r="B541" t="s">
        <v>40</v>
      </c>
      <c r="C541" t="b">
        <v>0</v>
      </c>
    </row>
    <row r="542" spans="1:3" x14ac:dyDescent="0.25">
      <c r="A542" s="2" t="s">
        <v>118</v>
      </c>
      <c r="B542" t="s">
        <v>41</v>
      </c>
      <c r="C542" s="2" t="s">
        <v>148</v>
      </c>
    </row>
    <row r="543" spans="1:3" x14ac:dyDescent="0.25">
      <c r="A543" s="2" t="s">
        <v>118</v>
      </c>
      <c r="B543" t="s">
        <v>76</v>
      </c>
      <c r="C543" s="2" t="s">
        <v>401</v>
      </c>
    </row>
    <row r="544" spans="1:3" x14ac:dyDescent="0.25">
      <c r="A544" s="2" t="s">
        <v>118</v>
      </c>
      <c r="B544" t="s">
        <v>44</v>
      </c>
      <c r="C544">
        <v>9.7100000000000009</v>
      </c>
    </row>
    <row r="545" spans="1:3" x14ac:dyDescent="0.25">
      <c r="A545" s="2" t="s">
        <v>27</v>
      </c>
      <c r="B545" t="s">
        <v>40</v>
      </c>
      <c r="C545" t="b">
        <v>0</v>
      </c>
    </row>
    <row r="546" spans="1:3" x14ac:dyDescent="0.25">
      <c r="A546" s="2" t="s">
        <v>27</v>
      </c>
      <c r="B546" t="s">
        <v>41</v>
      </c>
      <c r="C546" s="2" t="s">
        <v>149</v>
      </c>
    </row>
    <row r="547" spans="1:3" x14ac:dyDescent="0.25">
      <c r="A547" s="2" t="s">
        <v>27</v>
      </c>
      <c r="B547" t="s">
        <v>76</v>
      </c>
      <c r="C547" s="2" t="s">
        <v>402</v>
      </c>
    </row>
    <row r="548" spans="1:3" x14ac:dyDescent="0.25">
      <c r="A548" s="2" t="s">
        <v>27</v>
      </c>
      <c r="B548" t="s">
        <v>44</v>
      </c>
      <c r="C548">
        <v>20.71</v>
      </c>
    </row>
    <row r="549" spans="1:3" x14ac:dyDescent="0.25">
      <c r="A549" s="2" t="s">
        <v>27</v>
      </c>
      <c r="B549" t="s">
        <v>77</v>
      </c>
      <c r="C549" s="2" t="s">
        <v>79</v>
      </c>
    </row>
    <row r="550" spans="1:3" x14ac:dyDescent="0.25">
      <c r="A550" s="2" t="s">
        <v>28</v>
      </c>
      <c r="B550" t="s">
        <v>40</v>
      </c>
      <c r="C550" t="b">
        <v>0</v>
      </c>
    </row>
    <row r="551" spans="1:3" x14ac:dyDescent="0.25">
      <c r="A551" s="2" t="s">
        <v>28</v>
      </c>
      <c r="B551" t="s">
        <v>41</v>
      </c>
      <c r="C551" s="2" t="s">
        <v>150</v>
      </c>
    </row>
    <row r="552" spans="1:3" x14ac:dyDescent="0.25">
      <c r="A552" s="2" t="s">
        <v>28</v>
      </c>
      <c r="B552" t="s">
        <v>76</v>
      </c>
      <c r="C552" s="2" t="s">
        <v>403</v>
      </c>
    </row>
    <row r="553" spans="1:3" x14ac:dyDescent="0.25">
      <c r="A553" s="2" t="s">
        <v>28</v>
      </c>
      <c r="B553" t="s">
        <v>44</v>
      </c>
      <c r="C553">
        <v>16.14</v>
      </c>
    </row>
    <row r="554" spans="1:3" x14ac:dyDescent="0.25">
      <c r="A554" s="2" t="s">
        <v>21</v>
      </c>
      <c r="B554" t="s">
        <v>184</v>
      </c>
      <c r="C554" s="2" t="s">
        <v>185</v>
      </c>
    </row>
    <row r="555" spans="1:3" x14ac:dyDescent="0.25">
      <c r="A555" s="2" t="s">
        <v>21</v>
      </c>
      <c r="B555" t="s">
        <v>186</v>
      </c>
      <c r="C555">
        <v>3</v>
      </c>
    </row>
    <row r="556" spans="1:3" x14ac:dyDescent="0.25">
      <c r="A556" s="2" t="s">
        <v>21</v>
      </c>
      <c r="B556" t="s">
        <v>187</v>
      </c>
      <c r="C556">
        <v>5</v>
      </c>
    </row>
    <row r="557" spans="1:3" x14ac:dyDescent="0.25">
      <c r="A557" s="2" t="s">
        <v>21</v>
      </c>
      <c r="B557" t="s">
        <v>188</v>
      </c>
      <c r="C557">
        <v>1</v>
      </c>
    </row>
    <row r="558" spans="1:3" x14ac:dyDescent="0.25">
      <c r="A558" s="2" t="s">
        <v>21</v>
      </c>
      <c r="B558" t="s">
        <v>189</v>
      </c>
      <c r="C558">
        <v>-7.6E-3</v>
      </c>
    </row>
    <row r="559" spans="1:3" x14ac:dyDescent="0.25">
      <c r="A559" s="2" t="s">
        <v>21</v>
      </c>
      <c r="B559" t="s">
        <v>190</v>
      </c>
      <c r="C559">
        <v>7039480</v>
      </c>
    </row>
    <row r="560" spans="1:3" x14ac:dyDescent="0.25">
      <c r="A560" s="2" t="s">
        <v>21</v>
      </c>
      <c r="B560" t="s">
        <v>191</v>
      </c>
      <c r="C560">
        <v>5</v>
      </c>
    </row>
    <row r="561" spans="1:3" x14ac:dyDescent="0.25">
      <c r="A561" s="2" t="s">
        <v>21</v>
      </c>
      <c r="B561" t="s">
        <v>192</v>
      </c>
      <c r="C561">
        <v>50</v>
      </c>
    </row>
    <row r="562" spans="1:3" x14ac:dyDescent="0.25">
      <c r="A562" s="2" t="s">
        <v>21</v>
      </c>
      <c r="B562" t="s">
        <v>193</v>
      </c>
      <c r="C562">
        <v>8711167</v>
      </c>
    </row>
    <row r="563" spans="1:3" x14ac:dyDescent="0.25">
      <c r="A563" s="2" t="s">
        <v>21</v>
      </c>
      <c r="B563" t="s">
        <v>194</v>
      </c>
      <c r="C563">
        <v>2</v>
      </c>
    </row>
    <row r="564" spans="1:3" x14ac:dyDescent="0.25">
      <c r="A564" s="2" t="s">
        <v>21</v>
      </c>
      <c r="B564" t="s">
        <v>195</v>
      </c>
      <c r="C564">
        <v>3.6200000000000003E-2</v>
      </c>
    </row>
    <row r="565" spans="1:3" x14ac:dyDescent="0.25">
      <c r="A565" s="2" t="s">
        <v>21</v>
      </c>
      <c r="B565" t="s">
        <v>196</v>
      </c>
      <c r="C565">
        <v>8109667</v>
      </c>
    </row>
    <row r="566" spans="1:3" x14ac:dyDescent="0.25">
      <c r="A566" s="2" t="s">
        <v>88</v>
      </c>
      <c r="B566" t="s">
        <v>184</v>
      </c>
      <c r="C566" s="2" t="s">
        <v>198</v>
      </c>
    </row>
    <row r="567" spans="1:3" x14ac:dyDescent="0.25">
      <c r="A567" s="2" t="s">
        <v>88</v>
      </c>
      <c r="B567" t="s">
        <v>186</v>
      </c>
      <c r="C567">
        <v>3</v>
      </c>
    </row>
    <row r="568" spans="1:3" x14ac:dyDescent="0.25">
      <c r="A568" s="2" t="s">
        <v>88</v>
      </c>
      <c r="B568" t="s">
        <v>187</v>
      </c>
      <c r="C568">
        <v>4</v>
      </c>
    </row>
    <row r="569" spans="1:3" x14ac:dyDescent="0.25">
      <c r="A569" s="2" t="s">
        <v>88</v>
      </c>
      <c r="B569" t="s">
        <v>188</v>
      </c>
      <c r="C569">
        <v>1</v>
      </c>
    </row>
    <row r="570" spans="1:3" x14ac:dyDescent="0.25">
      <c r="A570" s="2" t="s">
        <v>88</v>
      </c>
      <c r="B570" t="s">
        <v>189</v>
      </c>
      <c r="C570">
        <v>-0.22509999999999999</v>
      </c>
    </row>
    <row r="571" spans="1:3" x14ac:dyDescent="0.25">
      <c r="A571" s="2" t="s">
        <v>88</v>
      </c>
      <c r="B571" t="s">
        <v>190</v>
      </c>
      <c r="C571">
        <v>7039480</v>
      </c>
    </row>
    <row r="572" spans="1:3" x14ac:dyDescent="0.25">
      <c r="A572" s="2" t="s">
        <v>88</v>
      </c>
      <c r="B572" t="s">
        <v>191</v>
      </c>
      <c r="C572">
        <v>5</v>
      </c>
    </row>
    <row r="573" spans="1:3" x14ac:dyDescent="0.25">
      <c r="A573" s="2" t="s">
        <v>88</v>
      </c>
      <c r="B573" t="s">
        <v>192</v>
      </c>
      <c r="C573">
        <v>50</v>
      </c>
    </row>
    <row r="574" spans="1:3" x14ac:dyDescent="0.25">
      <c r="A574" s="2" t="s">
        <v>88</v>
      </c>
      <c r="B574" t="s">
        <v>193</v>
      </c>
      <c r="C574">
        <v>8711167</v>
      </c>
    </row>
    <row r="575" spans="1:3" x14ac:dyDescent="0.25">
      <c r="A575" s="2" t="s">
        <v>88</v>
      </c>
      <c r="B575" t="s">
        <v>194</v>
      </c>
      <c r="C575">
        <v>2</v>
      </c>
    </row>
    <row r="576" spans="1:3" x14ac:dyDescent="0.25">
      <c r="A576" s="2" t="s">
        <v>88</v>
      </c>
      <c r="B576" t="s">
        <v>195</v>
      </c>
      <c r="C576">
        <v>9.5999999999999992E-3</v>
      </c>
    </row>
    <row r="577" spans="1:3" x14ac:dyDescent="0.25">
      <c r="A577" s="2" t="s">
        <v>88</v>
      </c>
      <c r="B577" t="s">
        <v>196</v>
      </c>
      <c r="C577">
        <v>8109667</v>
      </c>
    </row>
    <row r="578" spans="1:3" x14ac:dyDescent="0.25">
      <c r="A578" s="2" t="s">
        <v>89</v>
      </c>
      <c r="B578" t="s">
        <v>184</v>
      </c>
      <c r="C578" s="2" t="s">
        <v>199</v>
      </c>
    </row>
    <row r="579" spans="1:3" x14ac:dyDescent="0.25">
      <c r="A579" s="2" t="s">
        <v>89</v>
      </c>
      <c r="B579" t="s">
        <v>186</v>
      </c>
      <c r="C579">
        <v>3</v>
      </c>
    </row>
    <row r="580" spans="1:3" x14ac:dyDescent="0.25">
      <c r="A580" s="2" t="s">
        <v>89</v>
      </c>
      <c r="B580" t="s">
        <v>187</v>
      </c>
      <c r="C580">
        <v>3</v>
      </c>
    </row>
    <row r="581" spans="1:3" x14ac:dyDescent="0.25">
      <c r="A581" s="2" t="s">
        <v>89</v>
      </c>
      <c r="B581" t="s">
        <v>188</v>
      </c>
      <c r="C581">
        <v>1</v>
      </c>
    </row>
    <row r="582" spans="1:3" x14ac:dyDescent="0.25">
      <c r="A582" s="2" t="s">
        <v>89</v>
      </c>
      <c r="B582" t="s">
        <v>189</v>
      </c>
      <c r="C582">
        <v>0.27729999999999999</v>
      </c>
    </row>
    <row r="583" spans="1:3" x14ac:dyDescent="0.25">
      <c r="A583" s="2" t="s">
        <v>89</v>
      </c>
      <c r="B583" t="s">
        <v>190</v>
      </c>
      <c r="C583">
        <v>7039480</v>
      </c>
    </row>
    <row r="584" spans="1:3" x14ac:dyDescent="0.25">
      <c r="A584" s="2" t="s">
        <v>89</v>
      </c>
      <c r="B584" t="s">
        <v>191</v>
      </c>
      <c r="C584">
        <v>5</v>
      </c>
    </row>
    <row r="585" spans="1:3" x14ac:dyDescent="0.25">
      <c r="A585" s="2" t="s">
        <v>89</v>
      </c>
      <c r="B585" t="s">
        <v>192</v>
      </c>
      <c r="C585">
        <v>50</v>
      </c>
    </row>
    <row r="586" spans="1:3" x14ac:dyDescent="0.25">
      <c r="A586" s="2" t="s">
        <v>89</v>
      </c>
      <c r="B586" t="s">
        <v>193</v>
      </c>
      <c r="C586">
        <v>8711167</v>
      </c>
    </row>
    <row r="587" spans="1:3" x14ac:dyDescent="0.25">
      <c r="A587" s="2" t="s">
        <v>89</v>
      </c>
      <c r="B587" t="s">
        <v>194</v>
      </c>
      <c r="C587">
        <v>2</v>
      </c>
    </row>
    <row r="588" spans="1:3" x14ac:dyDescent="0.25">
      <c r="A588" s="2" t="s">
        <v>89</v>
      </c>
      <c r="B588" t="s">
        <v>195</v>
      </c>
      <c r="C588">
        <v>2.1221999999999999</v>
      </c>
    </row>
    <row r="589" spans="1:3" x14ac:dyDescent="0.25">
      <c r="A589" s="2" t="s">
        <v>89</v>
      </c>
      <c r="B589" t="s">
        <v>196</v>
      </c>
      <c r="C589">
        <v>8109667</v>
      </c>
    </row>
    <row r="590" spans="1:3" x14ac:dyDescent="0.25">
      <c r="A590" s="2" t="s">
        <v>94</v>
      </c>
      <c r="B590" t="s">
        <v>184</v>
      </c>
      <c r="C590" s="2" t="s">
        <v>200</v>
      </c>
    </row>
    <row r="591" spans="1:3" x14ac:dyDescent="0.25">
      <c r="A591" s="2" t="s">
        <v>94</v>
      </c>
      <c r="B591" t="s">
        <v>186</v>
      </c>
      <c r="C591">
        <v>3</v>
      </c>
    </row>
    <row r="592" spans="1:3" x14ac:dyDescent="0.25">
      <c r="A592" s="2" t="s">
        <v>94</v>
      </c>
      <c r="B592" t="s">
        <v>187</v>
      </c>
      <c r="C592">
        <v>2</v>
      </c>
    </row>
    <row r="593" spans="1:3" x14ac:dyDescent="0.25">
      <c r="A593" s="2" t="s">
        <v>94</v>
      </c>
      <c r="B593" t="s">
        <v>188</v>
      </c>
      <c r="C593">
        <v>1</v>
      </c>
    </row>
    <row r="594" spans="1:3" x14ac:dyDescent="0.25">
      <c r="A594" s="2" t="s">
        <v>94</v>
      </c>
      <c r="B594" t="s">
        <v>190</v>
      </c>
      <c r="C594">
        <v>7039480</v>
      </c>
    </row>
    <row r="595" spans="1:3" x14ac:dyDescent="0.25">
      <c r="A595" s="2" t="s">
        <v>94</v>
      </c>
      <c r="B595" t="s">
        <v>191</v>
      </c>
      <c r="C595">
        <v>5</v>
      </c>
    </row>
    <row r="596" spans="1:3" x14ac:dyDescent="0.25">
      <c r="A596" s="2" t="s">
        <v>94</v>
      </c>
      <c r="B596" t="s">
        <v>192</v>
      </c>
      <c r="C596">
        <v>50</v>
      </c>
    </row>
    <row r="597" spans="1:3" x14ac:dyDescent="0.25">
      <c r="A597" s="2" t="s">
        <v>94</v>
      </c>
      <c r="B597" t="s">
        <v>193</v>
      </c>
      <c r="C597">
        <v>8711167</v>
      </c>
    </row>
    <row r="598" spans="1:3" x14ac:dyDescent="0.25">
      <c r="A598" s="2" t="s">
        <v>94</v>
      </c>
      <c r="B598" t="s">
        <v>194</v>
      </c>
      <c r="C598">
        <v>2</v>
      </c>
    </row>
    <row r="599" spans="1:3" x14ac:dyDescent="0.25">
      <c r="A599" s="2" t="s">
        <v>94</v>
      </c>
      <c r="B599" t="s">
        <v>196</v>
      </c>
      <c r="C599">
        <v>8109667</v>
      </c>
    </row>
    <row r="600" spans="1:3" x14ac:dyDescent="0.25">
      <c r="A600" s="2" t="s">
        <v>95</v>
      </c>
      <c r="B600" t="s">
        <v>184</v>
      </c>
      <c r="C600" s="2" t="s">
        <v>201</v>
      </c>
    </row>
    <row r="601" spans="1:3" x14ac:dyDescent="0.25">
      <c r="A601" s="2" t="s">
        <v>95</v>
      </c>
      <c r="B601" t="s">
        <v>186</v>
      </c>
      <c r="C601">
        <v>3</v>
      </c>
    </row>
    <row r="602" spans="1:3" x14ac:dyDescent="0.25">
      <c r="A602" s="2" t="s">
        <v>95</v>
      </c>
      <c r="B602" t="s">
        <v>187</v>
      </c>
      <c r="C602">
        <v>1</v>
      </c>
    </row>
    <row r="603" spans="1:3" x14ac:dyDescent="0.25">
      <c r="A603" s="2" t="s">
        <v>95</v>
      </c>
      <c r="B603" t="s">
        <v>188</v>
      </c>
      <c r="C603">
        <v>1</v>
      </c>
    </row>
    <row r="604" spans="1:3" x14ac:dyDescent="0.25">
      <c r="A604" s="2" t="s">
        <v>95</v>
      </c>
      <c r="B604" t="s">
        <v>190</v>
      </c>
      <c r="C604">
        <v>7039480</v>
      </c>
    </row>
    <row r="605" spans="1:3" x14ac:dyDescent="0.25">
      <c r="A605" s="2" t="s">
        <v>95</v>
      </c>
      <c r="B605" t="s">
        <v>191</v>
      </c>
      <c r="C605">
        <v>5</v>
      </c>
    </row>
    <row r="606" spans="1:3" x14ac:dyDescent="0.25">
      <c r="A606" s="2" t="s">
        <v>95</v>
      </c>
      <c r="B606" t="s">
        <v>192</v>
      </c>
      <c r="C606">
        <v>50</v>
      </c>
    </row>
    <row r="607" spans="1:3" x14ac:dyDescent="0.25">
      <c r="A607" s="2" t="s">
        <v>95</v>
      </c>
      <c r="B607" t="s">
        <v>193</v>
      </c>
      <c r="C607">
        <v>8711167</v>
      </c>
    </row>
    <row r="608" spans="1:3" x14ac:dyDescent="0.25">
      <c r="A608" s="2" t="s">
        <v>95</v>
      </c>
      <c r="B608" t="s">
        <v>194</v>
      </c>
      <c r="C608">
        <v>2</v>
      </c>
    </row>
    <row r="609" spans="1:11" x14ac:dyDescent="0.25">
      <c r="A609" s="2" t="s">
        <v>95</v>
      </c>
      <c r="B609" t="s">
        <v>196</v>
      </c>
      <c r="C609">
        <v>8109667</v>
      </c>
    </row>
    <row r="610" spans="1:11" x14ac:dyDescent="0.25">
      <c r="A610" s="2" t="s">
        <v>32</v>
      </c>
      <c r="B610" t="s">
        <v>63</v>
      </c>
      <c r="C610" t="b">
        <v>0</v>
      </c>
    </row>
    <row r="611" spans="1:11" x14ac:dyDescent="0.25">
      <c r="A611" s="2" t="s">
        <v>32</v>
      </c>
      <c r="B611" t="s">
        <v>64</v>
      </c>
      <c r="C611" t="b">
        <v>1</v>
      </c>
    </row>
    <row r="612" spans="1:11" x14ac:dyDescent="0.25">
      <c r="A612" s="2" t="s">
        <v>32</v>
      </c>
      <c r="B612" t="s">
        <v>65</v>
      </c>
      <c r="C612" t="b">
        <v>1</v>
      </c>
    </row>
    <row r="613" spans="1:11" x14ac:dyDescent="0.25">
      <c r="A613" s="2" t="s">
        <v>32</v>
      </c>
      <c r="B613" t="s">
        <v>66</v>
      </c>
      <c r="C613">
        <v>0</v>
      </c>
    </row>
    <row r="614" spans="1:11" x14ac:dyDescent="0.25">
      <c r="A614" s="2" t="s">
        <v>32</v>
      </c>
      <c r="B614" t="s">
        <v>67</v>
      </c>
      <c r="C614">
        <v>1</v>
      </c>
    </row>
    <row r="615" spans="1:11" x14ac:dyDescent="0.25">
      <c r="A615" s="2" t="s">
        <v>32</v>
      </c>
      <c r="B615" t="s">
        <v>68</v>
      </c>
      <c r="C615">
        <v>1</v>
      </c>
    </row>
    <row r="616" spans="1:11" x14ac:dyDescent="0.25">
      <c r="A616" s="2" t="s">
        <v>32</v>
      </c>
      <c r="B616" t="s">
        <v>69</v>
      </c>
      <c r="C616">
        <v>100</v>
      </c>
    </row>
    <row r="617" spans="1:11" x14ac:dyDescent="0.25">
      <c r="A617" t="s">
        <v>353</v>
      </c>
    </row>
    <row r="618" spans="1:11" x14ac:dyDescent="0.25">
      <c r="A618" t="s">
        <v>404</v>
      </c>
    </row>
    <row r="619" spans="1:11" x14ac:dyDescent="0.25">
      <c r="D619" t="s">
        <v>14</v>
      </c>
      <c r="E619" t="s">
        <v>230</v>
      </c>
      <c r="G619" t="s">
        <v>231</v>
      </c>
      <c r="J619" t="s">
        <v>232</v>
      </c>
      <c r="K619" t="s">
        <v>233</v>
      </c>
    </row>
    <row r="620" spans="1:11" x14ac:dyDescent="0.25">
      <c r="D620" t="s">
        <v>11</v>
      </c>
      <c r="E620" t="s">
        <v>234</v>
      </c>
      <c r="G620" t="s">
        <v>266</v>
      </c>
      <c r="J620" t="s">
        <v>267</v>
      </c>
    </row>
    <row r="621" spans="1:11" x14ac:dyDescent="0.25">
      <c r="D621" t="s">
        <v>71</v>
      </c>
      <c r="E621" t="s">
        <v>236</v>
      </c>
      <c r="G621" t="s">
        <v>231</v>
      </c>
      <c r="J621" t="s">
        <v>232</v>
      </c>
      <c r="K621" t="s">
        <v>405</v>
      </c>
    </row>
    <row r="622" spans="1:11" x14ac:dyDescent="0.25">
      <c r="D622" t="s">
        <v>19</v>
      </c>
      <c r="E622" t="s">
        <v>237</v>
      </c>
      <c r="G622" t="s">
        <v>231</v>
      </c>
      <c r="J622" t="s">
        <v>232</v>
      </c>
      <c r="K622" t="s">
        <v>406</v>
      </c>
    </row>
    <row r="623" spans="1:11" x14ac:dyDescent="0.25">
      <c r="D623" t="s">
        <v>20</v>
      </c>
      <c r="E623" t="s">
        <v>239</v>
      </c>
      <c r="G623" t="s">
        <v>231</v>
      </c>
      <c r="J623" t="s">
        <v>232</v>
      </c>
      <c r="K623" t="s">
        <v>268</v>
      </c>
    </row>
    <row r="624" spans="1:11" x14ac:dyDescent="0.25">
      <c r="D624" t="s">
        <v>21</v>
      </c>
      <c r="E624" t="s">
        <v>241</v>
      </c>
      <c r="G624" t="s">
        <v>231</v>
      </c>
      <c r="J624" t="s">
        <v>232</v>
      </c>
      <c r="K624" t="s">
        <v>405</v>
      </c>
    </row>
    <row r="625" spans="4:11" x14ac:dyDescent="0.25">
      <c r="D625" t="s">
        <v>72</v>
      </c>
      <c r="E625" t="s">
        <v>242</v>
      </c>
      <c r="G625" t="s">
        <v>231</v>
      </c>
      <c r="J625" t="s">
        <v>232</v>
      </c>
      <c r="K625" t="s">
        <v>406</v>
      </c>
    </row>
    <row r="626" spans="4:11" x14ac:dyDescent="0.25">
      <c r="D626" t="s">
        <v>73</v>
      </c>
      <c r="E626" t="s">
        <v>243</v>
      </c>
      <c r="G626" t="s">
        <v>231</v>
      </c>
      <c r="J626" t="s">
        <v>232</v>
      </c>
      <c r="K626" t="s">
        <v>406</v>
      </c>
    </row>
    <row r="627" spans="4:11" x14ac:dyDescent="0.25">
      <c r="D627" t="s">
        <v>74</v>
      </c>
      <c r="E627" t="s">
        <v>244</v>
      </c>
      <c r="G627" t="s">
        <v>231</v>
      </c>
      <c r="J627" t="s">
        <v>232</v>
      </c>
      <c r="K627" t="s">
        <v>325</v>
      </c>
    </row>
    <row r="628" spans="4:11" x14ac:dyDescent="0.25">
      <c r="D628" t="s">
        <v>25</v>
      </c>
      <c r="E628" t="s">
        <v>246</v>
      </c>
      <c r="G628" t="s">
        <v>231</v>
      </c>
      <c r="J628" t="s">
        <v>232</v>
      </c>
      <c r="K628" t="s">
        <v>268</v>
      </c>
    </row>
    <row r="629" spans="4:11" x14ac:dyDescent="0.25">
      <c r="D629" t="s">
        <v>80</v>
      </c>
      <c r="E629" t="s">
        <v>247</v>
      </c>
      <c r="G629" t="s">
        <v>231</v>
      </c>
      <c r="J629" t="s">
        <v>232</v>
      </c>
      <c r="K629" t="s">
        <v>407</v>
      </c>
    </row>
    <row r="630" spans="4:11" x14ac:dyDescent="0.25">
      <c r="D630" t="s">
        <v>81</v>
      </c>
      <c r="E630" t="s">
        <v>249</v>
      </c>
      <c r="G630" t="s">
        <v>231</v>
      </c>
      <c r="J630" t="s">
        <v>232</v>
      </c>
      <c r="K630" t="s">
        <v>407</v>
      </c>
    </row>
    <row r="631" spans="4:11" x14ac:dyDescent="0.25">
      <c r="D631" t="s">
        <v>82</v>
      </c>
      <c r="E631" t="s">
        <v>305</v>
      </c>
      <c r="G631" t="s">
        <v>231</v>
      </c>
      <c r="J631" t="s">
        <v>232</v>
      </c>
      <c r="K631" t="s">
        <v>408</v>
      </c>
    </row>
    <row r="632" spans="4:11" x14ac:dyDescent="0.25">
      <c r="D632" t="s">
        <v>83</v>
      </c>
      <c r="E632" t="s">
        <v>307</v>
      </c>
      <c r="G632" t="s">
        <v>231</v>
      </c>
      <c r="J632" t="s">
        <v>232</v>
      </c>
      <c r="K632" t="s">
        <v>273</v>
      </c>
    </row>
    <row r="633" spans="4:11" x14ac:dyDescent="0.25">
      <c r="D633" t="s">
        <v>84</v>
      </c>
      <c r="E633" t="s">
        <v>309</v>
      </c>
      <c r="G633" t="s">
        <v>231</v>
      </c>
      <c r="J633" t="s">
        <v>232</v>
      </c>
      <c r="K633" t="s">
        <v>409</v>
      </c>
    </row>
    <row r="634" spans="4:11" x14ac:dyDescent="0.25">
      <c r="D634" t="s">
        <v>85</v>
      </c>
      <c r="E634" t="s">
        <v>310</v>
      </c>
      <c r="G634" t="s">
        <v>231</v>
      </c>
      <c r="J634" t="s">
        <v>232</v>
      </c>
      <c r="K634" t="s">
        <v>407</v>
      </c>
    </row>
    <row r="635" spans="4:11" x14ac:dyDescent="0.25">
      <c r="D635" t="s">
        <v>86</v>
      </c>
      <c r="E635" t="s">
        <v>311</v>
      </c>
      <c r="G635" t="s">
        <v>231</v>
      </c>
      <c r="J635" t="s">
        <v>232</v>
      </c>
      <c r="K635" t="s">
        <v>410</v>
      </c>
    </row>
    <row r="636" spans="4:11" x14ac:dyDescent="0.25">
      <c r="D636" t="s">
        <v>87</v>
      </c>
      <c r="E636" t="s">
        <v>312</v>
      </c>
      <c r="G636" t="s">
        <v>231</v>
      </c>
      <c r="J636" t="s">
        <v>232</v>
      </c>
      <c r="K636" t="s">
        <v>411</v>
      </c>
    </row>
    <row r="637" spans="4:11" x14ac:dyDescent="0.25">
      <c r="D637" t="s">
        <v>88</v>
      </c>
      <c r="E637" t="s">
        <v>314</v>
      </c>
      <c r="G637" t="s">
        <v>231</v>
      </c>
      <c r="J637" t="s">
        <v>232</v>
      </c>
      <c r="K637" t="s">
        <v>412</v>
      </c>
    </row>
    <row r="638" spans="4:11" x14ac:dyDescent="0.25">
      <c r="D638" t="s">
        <v>89</v>
      </c>
      <c r="E638" t="s">
        <v>315</v>
      </c>
      <c r="G638" t="s">
        <v>231</v>
      </c>
      <c r="J638" t="s">
        <v>232</v>
      </c>
      <c r="K638" t="s">
        <v>413</v>
      </c>
    </row>
    <row r="639" spans="4:11" x14ac:dyDescent="0.25">
      <c r="D639" t="s">
        <v>90</v>
      </c>
      <c r="E639" t="s">
        <v>317</v>
      </c>
      <c r="G639" t="s">
        <v>231</v>
      </c>
      <c r="J639" t="s">
        <v>232</v>
      </c>
      <c r="K639" t="s">
        <v>406</v>
      </c>
    </row>
    <row r="640" spans="4:11" x14ac:dyDescent="0.25">
      <c r="D640" t="s">
        <v>91</v>
      </c>
      <c r="E640" t="s">
        <v>318</v>
      </c>
      <c r="G640" t="s">
        <v>231</v>
      </c>
      <c r="J640" t="s">
        <v>232</v>
      </c>
      <c r="K640" t="s">
        <v>316</v>
      </c>
    </row>
    <row r="641" spans="4:11" x14ac:dyDescent="0.25">
      <c r="D641" t="s">
        <v>92</v>
      </c>
      <c r="E641" t="s">
        <v>319</v>
      </c>
      <c r="G641" t="s">
        <v>231</v>
      </c>
      <c r="J641" t="s">
        <v>232</v>
      </c>
      <c r="K641" t="s">
        <v>414</v>
      </c>
    </row>
    <row r="642" spans="4:11" x14ac:dyDescent="0.25">
      <c r="D642" t="s">
        <v>93</v>
      </c>
      <c r="E642" t="s">
        <v>321</v>
      </c>
      <c r="G642" t="s">
        <v>231</v>
      </c>
      <c r="J642" t="s">
        <v>232</v>
      </c>
      <c r="K642" t="s">
        <v>415</v>
      </c>
    </row>
    <row r="643" spans="4:11" x14ac:dyDescent="0.25">
      <c r="D643" t="s">
        <v>94</v>
      </c>
      <c r="E643" t="s">
        <v>322</v>
      </c>
      <c r="G643" t="s">
        <v>231</v>
      </c>
      <c r="J643" t="s">
        <v>232</v>
      </c>
      <c r="K643" t="s">
        <v>416</v>
      </c>
    </row>
    <row r="644" spans="4:11" x14ac:dyDescent="0.25">
      <c r="D644" t="s">
        <v>95</v>
      </c>
      <c r="E644" t="s">
        <v>324</v>
      </c>
      <c r="G644" t="s">
        <v>231</v>
      </c>
      <c r="J644" t="s">
        <v>232</v>
      </c>
      <c r="K644" t="s">
        <v>417</v>
      </c>
    </row>
    <row r="645" spans="4:11" x14ac:dyDescent="0.25">
      <c r="D645" t="s">
        <v>96</v>
      </c>
      <c r="E645" t="s">
        <v>326</v>
      </c>
      <c r="G645" t="s">
        <v>231</v>
      </c>
      <c r="J645" t="s">
        <v>232</v>
      </c>
      <c r="K645" t="s">
        <v>410</v>
      </c>
    </row>
    <row r="646" spans="4:11" x14ac:dyDescent="0.25">
      <c r="D646" t="s">
        <v>97</v>
      </c>
      <c r="E646" t="s">
        <v>327</v>
      </c>
      <c r="G646" t="s">
        <v>231</v>
      </c>
      <c r="J646" t="s">
        <v>232</v>
      </c>
      <c r="K646" t="s">
        <v>410</v>
      </c>
    </row>
    <row r="647" spans="4:11" x14ac:dyDescent="0.25">
      <c r="D647" t="s">
        <v>98</v>
      </c>
      <c r="E647" t="s">
        <v>328</v>
      </c>
      <c r="G647" t="s">
        <v>231</v>
      </c>
      <c r="J647" t="s">
        <v>232</v>
      </c>
      <c r="K647" t="s">
        <v>323</v>
      </c>
    </row>
    <row r="648" spans="4:11" x14ac:dyDescent="0.25">
      <c r="D648" t="s">
        <v>99</v>
      </c>
      <c r="E648" t="s">
        <v>329</v>
      </c>
      <c r="G648" t="s">
        <v>231</v>
      </c>
      <c r="J648" t="s">
        <v>232</v>
      </c>
      <c r="K648" t="s">
        <v>325</v>
      </c>
    </row>
    <row r="649" spans="4:11" x14ac:dyDescent="0.25">
      <c r="D649" t="s">
        <v>100</v>
      </c>
      <c r="E649" t="s">
        <v>330</v>
      </c>
      <c r="G649" t="s">
        <v>231</v>
      </c>
      <c r="J649" t="s">
        <v>232</v>
      </c>
      <c r="K649" t="s">
        <v>411</v>
      </c>
    </row>
    <row r="650" spans="4:11" x14ac:dyDescent="0.25">
      <c r="D650" t="s">
        <v>101</v>
      </c>
      <c r="E650" t="s">
        <v>331</v>
      </c>
      <c r="G650" t="s">
        <v>231</v>
      </c>
      <c r="J650" t="s">
        <v>232</v>
      </c>
      <c r="K650" t="s">
        <v>411</v>
      </c>
    </row>
    <row r="651" spans="4:11" x14ac:dyDescent="0.25">
      <c r="D651" t="s">
        <v>102</v>
      </c>
      <c r="E651" t="s">
        <v>332</v>
      </c>
      <c r="G651" t="s">
        <v>231</v>
      </c>
      <c r="J651" t="s">
        <v>232</v>
      </c>
      <c r="K651" t="s">
        <v>414</v>
      </c>
    </row>
    <row r="652" spans="4:11" x14ac:dyDescent="0.25">
      <c r="D652" t="s">
        <v>103</v>
      </c>
      <c r="E652" t="s">
        <v>333</v>
      </c>
      <c r="G652" t="s">
        <v>231</v>
      </c>
      <c r="J652" t="s">
        <v>232</v>
      </c>
      <c r="K652" t="s">
        <v>405</v>
      </c>
    </row>
    <row r="653" spans="4:11" x14ac:dyDescent="0.25">
      <c r="D653" t="s">
        <v>104</v>
      </c>
      <c r="E653" t="s">
        <v>334</v>
      </c>
      <c r="G653" t="s">
        <v>231</v>
      </c>
      <c r="J653" t="s">
        <v>232</v>
      </c>
      <c r="K653" t="s">
        <v>407</v>
      </c>
    </row>
    <row r="654" spans="4:11" x14ac:dyDescent="0.25">
      <c r="D654" t="s">
        <v>105</v>
      </c>
      <c r="E654" t="s">
        <v>335</v>
      </c>
      <c r="G654" t="s">
        <v>231</v>
      </c>
      <c r="J654" t="s">
        <v>232</v>
      </c>
      <c r="K654" t="s">
        <v>405</v>
      </c>
    </row>
    <row r="655" spans="4:11" x14ac:dyDescent="0.25">
      <c r="D655" t="s">
        <v>106</v>
      </c>
      <c r="E655" t="s">
        <v>336</v>
      </c>
      <c r="G655" t="s">
        <v>231</v>
      </c>
      <c r="J655" t="s">
        <v>232</v>
      </c>
      <c r="K655" t="s">
        <v>405</v>
      </c>
    </row>
    <row r="656" spans="4:11" x14ac:dyDescent="0.25">
      <c r="D656" t="s">
        <v>107</v>
      </c>
      <c r="E656" t="s">
        <v>337</v>
      </c>
      <c r="G656" t="s">
        <v>231</v>
      </c>
      <c r="J656" t="s">
        <v>232</v>
      </c>
      <c r="K656" t="s">
        <v>414</v>
      </c>
    </row>
    <row r="657" spans="1:11" x14ac:dyDescent="0.25">
      <c r="D657" t="s">
        <v>108</v>
      </c>
      <c r="E657" t="s">
        <v>338</v>
      </c>
      <c r="G657" t="s">
        <v>231</v>
      </c>
      <c r="J657" t="s">
        <v>232</v>
      </c>
      <c r="K657" t="s">
        <v>415</v>
      </c>
    </row>
    <row r="658" spans="1:11" x14ac:dyDescent="0.25">
      <c r="D658" t="s">
        <v>109</v>
      </c>
      <c r="E658" t="s">
        <v>339</v>
      </c>
      <c r="G658" t="s">
        <v>231</v>
      </c>
      <c r="J658" t="s">
        <v>232</v>
      </c>
      <c r="K658" t="s">
        <v>407</v>
      </c>
    </row>
    <row r="659" spans="1:11" x14ac:dyDescent="0.25">
      <c r="D659" t="s">
        <v>110</v>
      </c>
      <c r="E659" t="s">
        <v>340</v>
      </c>
      <c r="G659" t="s">
        <v>231</v>
      </c>
      <c r="J659" t="s">
        <v>232</v>
      </c>
      <c r="K659" t="s">
        <v>407</v>
      </c>
    </row>
    <row r="660" spans="1:11" x14ac:dyDescent="0.25">
      <c r="D660" t="s">
        <v>111</v>
      </c>
      <c r="E660" t="s">
        <v>341</v>
      </c>
      <c r="G660" t="s">
        <v>231</v>
      </c>
      <c r="J660" t="s">
        <v>232</v>
      </c>
      <c r="K660" t="s">
        <v>408</v>
      </c>
    </row>
    <row r="661" spans="1:11" x14ac:dyDescent="0.25">
      <c r="D661" t="s">
        <v>112</v>
      </c>
      <c r="E661" t="s">
        <v>342</v>
      </c>
      <c r="G661" t="s">
        <v>231</v>
      </c>
      <c r="J661" t="s">
        <v>232</v>
      </c>
      <c r="K661" t="s">
        <v>417</v>
      </c>
    </row>
    <row r="662" spans="1:11" x14ac:dyDescent="0.25">
      <c r="D662" t="s">
        <v>113</v>
      </c>
      <c r="E662" t="s">
        <v>343</v>
      </c>
      <c r="G662" t="s">
        <v>231</v>
      </c>
      <c r="J662" t="s">
        <v>232</v>
      </c>
      <c r="K662" t="s">
        <v>418</v>
      </c>
    </row>
    <row r="663" spans="1:11" x14ac:dyDescent="0.25">
      <c r="D663" t="s">
        <v>114</v>
      </c>
      <c r="E663" t="s">
        <v>345</v>
      </c>
      <c r="G663" t="s">
        <v>231</v>
      </c>
      <c r="J663" t="s">
        <v>232</v>
      </c>
      <c r="K663" t="s">
        <v>268</v>
      </c>
    </row>
    <row r="664" spans="1:11" x14ac:dyDescent="0.25">
      <c r="D664" t="s">
        <v>115</v>
      </c>
      <c r="E664" t="s">
        <v>346</v>
      </c>
      <c r="G664" t="s">
        <v>231</v>
      </c>
      <c r="J664" t="s">
        <v>232</v>
      </c>
      <c r="K664" t="s">
        <v>419</v>
      </c>
    </row>
    <row r="665" spans="1:11" x14ac:dyDescent="0.25">
      <c r="D665" t="s">
        <v>116</v>
      </c>
      <c r="E665" t="s">
        <v>347</v>
      </c>
      <c r="G665" t="s">
        <v>231</v>
      </c>
      <c r="J665" t="s">
        <v>232</v>
      </c>
      <c r="K665" t="s">
        <v>405</v>
      </c>
    </row>
    <row r="666" spans="1:11" x14ac:dyDescent="0.25">
      <c r="D666" t="s">
        <v>117</v>
      </c>
      <c r="E666" t="s">
        <v>348</v>
      </c>
      <c r="G666" t="s">
        <v>231</v>
      </c>
      <c r="J666" t="s">
        <v>232</v>
      </c>
      <c r="K666" t="s">
        <v>408</v>
      </c>
    </row>
    <row r="667" spans="1:11" x14ac:dyDescent="0.25">
      <c r="D667" t="s">
        <v>118</v>
      </c>
      <c r="E667" t="s">
        <v>349</v>
      </c>
      <c r="G667" t="s">
        <v>231</v>
      </c>
      <c r="J667" t="s">
        <v>232</v>
      </c>
      <c r="K667" t="s">
        <v>316</v>
      </c>
    </row>
    <row r="668" spans="1:11" x14ac:dyDescent="0.25">
      <c r="D668" t="s">
        <v>27</v>
      </c>
      <c r="E668" t="s">
        <v>233</v>
      </c>
      <c r="G668" t="s">
        <v>231</v>
      </c>
      <c r="J668" t="s">
        <v>232</v>
      </c>
      <c r="K668" t="s">
        <v>418</v>
      </c>
    </row>
    <row r="669" spans="1:11" x14ac:dyDescent="0.25">
      <c r="D669" t="s">
        <v>28</v>
      </c>
      <c r="E669" t="s">
        <v>350</v>
      </c>
      <c r="G669" t="s">
        <v>231</v>
      </c>
      <c r="J669" t="s">
        <v>232</v>
      </c>
      <c r="K669" t="s">
        <v>415</v>
      </c>
    </row>
    <row r="670" spans="1:11" x14ac:dyDescent="0.25">
      <c r="A670" t="s">
        <v>420</v>
      </c>
    </row>
    <row r="671" spans="1:11" x14ac:dyDescent="0.25">
      <c r="A671" t="s">
        <v>421</v>
      </c>
    </row>
    <row r="672" spans="1:11" x14ac:dyDescent="0.25">
      <c r="A672" s="2" t="s">
        <v>32</v>
      </c>
      <c r="B672" t="s">
        <v>33</v>
      </c>
      <c r="C672" s="2" t="s">
        <v>166</v>
      </c>
    </row>
    <row r="673" spans="1:3" x14ac:dyDescent="0.25">
      <c r="A673" s="2" t="s">
        <v>32</v>
      </c>
      <c r="B673" t="s">
        <v>34</v>
      </c>
      <c r="C673" t="b">
        <v>0</v>
      </c>
    </row>
    <row r="674" spans="1:3" x14ac:dyDescent="0.25">
      <c r="A674" s="2" t="s">
        <v>32</v>
      </c>
      <c r="B674" t="s">
        <v>35</v>
      </c>
      <c r="C674" s="2" t="s">
        <v>75</v>
      </c>
    </row>
    <row r="675" spans="1:3" x14ac:dyDescent="0.25">
      <c r="A675" s="2" t="s">
        <v>32</v>
      </c>
      <c r="B675" t="s">
        <v>36</v>
      </c>
      <c r="C675" t="b">
        <v>0</v>
      </c>
    </row>
    <row r="676" spans="1:3" x14ac:dyDescent="0.25">
      <c r="A676" s="2" t="s">
        <v>32</v>
      </c>
      <c r="B676" t="s">
        <v>37</v>
      </c>
      <c r="C676" t="b">
        <v>0</v>
      </c>
    </row>
    <row r="677" spans="1:3" x14ac:dyDescent="0.25">
      <c r="A677" s="2" t="s">
        <v>32</v>
      </c>
      <c r="B677" t="s">
        <v>38</v>
      </c>
      <c r="C677" t="b">
        <v>0</v>
      </c>
    </row>
    <row r="678" spans="1:3" x14ac:dyDescent="0.25">
      <c r="A678" s="2" t="s">
        <v>32</v>
      </c>
      <c r="B678" t="s">
        <v>39</v>
      </c>
      <c r="C678" t="b">
        <v>0</v>
      </c>
    </row>
    <row r="679" spans="1:3" x14ac:dyDescent="0.25">
      <c r="A679" s="2" t="s">
        <v>9</v>
      </c>
      <c r="B679" t="s">
        <v>40</v>
      </c>
      <c r="C679" t="b">
        <v>1</v>
      </c>
    </row>
    <row r="680" spans="1:3" x14ac:dyDescent="0.25">
      <c r="A680" s="2" t="s">
        <v>9</v>
      </c>
      <c r="B680" t="s">
        <v>41</v>
      </c>
      <c r="C680" s="2" t="s">
        <v>42</v>
      </c>
    </row>
    <row r="681" spans="1:3" x14ac:dyDescent="0.25">
      <c r="A681" s="2" t="s">
        <v>14</v>
      </c>
      <c r="B681" t="s">
        <v>40</v>
      </c>
      <c r="C681" t="b">
        <v>0</v>
      </c>
    </row>
    <row r="682" spans="1:3" x14ac:dyDescent="0.25">
      <c r="A682" s="2" t="s">
        <v>14</v>
      </c>
      <c r="B682" t="s">
        <v>41</v>
      </c>
      <c r="C682" s="2" t="s">
        <v>43</v>
      </c>
    </row>
    <row r="683" spans="1:3" x14ac:dyDescent="0.25">
      <c r="A683" s="2" t="s">
        <v>14</v>
      </c>
      <c r="B683" t="s">
        <v>44</v>
      </c>
      <c r="C683">
        <v>9.14</v>
      </c>
    </row>
    <row r="684" spans="1:3" x14ac:dyDescent="0.25">
      <c r="A684" s="2" t="s">
        <v>11</v>
      </c>
      <c r="B684" t="s">
        <v>40</v>
      </c>
      <c r="C684" t="b">
        <v>0</v>
      </c>
    </row>
    <row r="685" spans="1:3" x14ac:dyDescent="0.25">
      <c r="A685" s="2" t="s">
        <v>11</v>
      </c>
      <c r="B685" t="s">
        <v>41</v>
      </c>
      <c r="C685" s="2" t="s">
        <v>45</v>
      </c>
    </row>
    <row r="686" spans="1:3" x14ac:dyDescent="0.25">
      <c r="A686" s="2" t="s">
        <v>11</v>
      </c>
      <c r="B686" t="s">
        <v>44</v>
      </c>
      <c r="C686">
        <v>9</v>
      </c>
    </row>
    <row r="687" spans="1:3" x14ac:dyDescent="0.25">
      <c r="A687" s="2" t="s">
        <v>11</v>
      </c>
      <c r="B687" t="s">
        <v>77</v>
      </c>
      <c r="C687" s="2" t="s">
        <v>78</v>
      </c>
    </row>
    <row r="688" spans="1:3" x14ac:dyDescent="0.25">
      <c r="A688" s="2" t="s">
        <v>71</v>
      </c>
      <c r="B688" t="s">
        <v>40</v>
      </c>
      <c r="C688" t="b">
        <v>0</v>
      </c>
    </row>
    <row r="689" spans="1:3" x14ac:dyDescent="0.25">
      <c r="A689" s="2" t="s">
        <v>71</v>
      </c>
      <c r="B689" t="s">
        <v>41</v>
      </c>
      <c r="C689" s="2" t="s">
        <v>46</v>
      </c>
    </row>
    <row r="690" spans="1:3" x14ac:dyDescent="0.25">
      <c r="A690" s="2" t="s">
        <v>71</v>
      </c>
      <c r="B690" t="s">
        <v>76</v>
      </c>
      <c r="C690" s="2" t="s">
        <v>423</v>
      </c>
    </row>
    <row r="691" spans="1:3" x14ac:dyDescent="0.25">
      <c r="A691" s="2" t="s">
        <v>71</v>
      </c>
      <c r="B691" t="s">
        <v>44</v>
      </c>
      <c r="C691">
        <v>13.29</v>
      </c>
    </row>
    <row r="692" spans="1:3" x14ac:dyDescent="0.25">
      <c r="A692" s="2" t="s">
        <v>71</v>
      </c>
      <c r="B692" t="s">
        <v>77</v>
      </c>
      <c r="C692" s="2" t="s">
        <v>79</v>
      </c>
    </row>
    <row r="693" spans="1:3" x14ac:dyDescent="0.25">
      <c r="A693" s="2" t="s">
        <v>19</v>
      </c>
      <c r="B693" t="s">
        <v>40</v>
      </c>
      <c r="C693" t="b">
        <v>0</v>
      </c>
    </row>
    <row r="694" spans="1:3" x14ac:dyDescent="0.25">
      <c r="A694" s="2" t="s">
        <v>19</v>
      </c>
      <c r="B694" t="s">
        <v>41</v>
      </c>
      <c r="C694" s="2" t="s">
        <v>47</v>
      </c>
    </row>
    <row r="695" spans="1:3" x14ac:dyDescent="0.25">
      <c r="A695" s="2" t="s">
        <v>19</v>
      </c>
      <c r="B695" t="s">
        <v>76</v>
      </c>
      <c r="C695" s="2" t="s">
        <v>424</v>
      </c>
    </row>
    <row r="696" spans="1:3" x14ac:dyDescent="0.25">
      <c r="A696" s="2" t="s">
        <v>19</v>
      </c>
      <c r="B696" t="s">
        <v>44</v>
      </c>
      <c r="C696">
        <v>6.86</v>
      </c>
    </row>
    <row r="697" spans="1:3" x14ac:dyDescent="0.25">
      <c r="A697" s="2" t="s">
        <v>19</v>
      </c>
      <c r="B697" t="s">
        <v>77</v>
      </c>
      <c r="C697" s="2" t="s">
        <v>180</v>
      </c>
    </row>
    <row r="698" spans="1:3" x14ac:dyDescent="0.25">
      <c r="A698" s="2" t="s">
        <v>20</v>
      </c>
      <c r="B698" t="s">
        <v>40</v>
      </c>
      <c r="C698" t="b">
        <v>0</v>
      </c>
    </row>
    <row r="699" spans="1:3" x14ac:dyDescent="0.25">
      <c r="A699" s="2" t="s">
        <v>20</v>
      </c>
      <c r="B699" t="s">
        <v>41</v>
      </c>
      <c r="C699" s="2" t="s">
        <v>48</v>
      </c>
    </row>
    <row r="700" spans="1:3" x14ac:dyDescent="0.25">
      <c r="A700" s="2" t="s">
        <v>20</v>
      </c>
      <c r="B700" t="s">
        <v>76</v>
      </c>
      <c r="C700" s="2" t="s">
        <v>425</v>
      </c>
    </row>
    <row r="701" spans="1:3" x14ac:dyDescent="0.25">
      <c r="A701" s="2" t="s">
        <v>20</v>
      </c>
      <c r="B701" t="s">
        <v>44</v>
      </c>
      <c r="C701">
        <v>6.86</v>
      </c>
    </row>
    <row r="702" spans="1:3" x14ac:dyDescent="0.25">
      <c r="A702" s="2" t="s">
        <v>20</v>
      </c>
      <c r="B702" t="s">
        <v>77</v>
      </c>
      <c r="C702" s="2" t="s">
        <v>181</v>
      </c>
    </row>
    <row r="703" spans="1:3" x14ac:dyDescent="0.25">
      <c r="A703" s="2" t="s">
        <v>21</v>
      </c>
      <c r="B703" t="s">
        <v>40</v>
      </c>
      <c r="C703" t="b">
        <v>0</v>
      </c>
    </row>
    <row r="704" spans="1:3" x14ac:dyDescent="0.25">
      <c r="A704" s="2" t="s">
        <v>21</v>
      </c>
      <c r="B704" t="s">
        <v>41</v>
      </c>
      <c r="C704" s="2" t="s">
        <v>49</v>
      </c>
    </row>
    <row r="705" spans="1:3" x14ac:dyDescent="0.25">
      <c r="A705" s="2" t="s">
        <v>21</v>
      </c>
      <c r="B705" t="s">
        <v>76</v>
      </c>
      <c r="C705" s="2" t="s">
        <v>426</v>
      </c>
    </row>
    <row r="706" spans="1:3" x14ac:dyDescent="0.25">
      <c r="A706" s="2" t="s">
        <v>21</v>
      </c>
      <c r="B706" t="s">
        <v>44</v>
      </c>
      <c r="C706">
        <v>13.86</v>
      </c>
    </row>
    <row r="707" spans="1:3" x14ac:dyDescent="0.25">
      <c r="A707" s="2" t="s">
        <v>21</v>
      </c>
      <c r="B707" t="s">
        <v>77</v>
      </c>
      <c r="C707" s="2" t="s">
        <v>151</v>
      </c>
    </row>
    <row r="708" spans="1:3" x14ac:dyDescent="0.25">
      <c r="A708" s="2" t="s">
        <v>72</v>
      </c>
      <c r="B708" t="s">
        <v>40</v>
      </c>
      <c r="C708" t="b">
        <v>0</v>
      </c>
    </row>
    <row r="709" spans="1:3" x14ac:dyDescent="0.25">
      <c r="A709" s="2" t="s">
        <v>72</v>
      </c>
      <c r="B709" t="s">
        <v>41</v>
      </c>
      <c r="C709" s="2" t="s">
        <v>50</v>
      </c>
    </row>
    <row r="710" spans="1:3" x14ac:dyDescent="0.25">
      <c r="A710" s="2" t="s">
        <v>72</v>
      </c>
      <c r="B710" t="s">
        <v>76</v>
      </c>
      <c r="C710" s="2" t="s">
        <v>427</v>
      </c>
    </row>
    <row r="711" spans="1:3" x14ac:dyDescent="0.25">
      <c r="A711" s="2" t="s">
        <v>72</v>
      </c>
      <c r="B711" t="s">
        <v>44</v>
      </c>
      <c r="C711">
        <v>7.86</v>
      </c>
    </row>
    <row r="712" spans="1:3" x14ac:dyDescent="0.25">
      <c r="A712" s="2" t="s">
        <v>72</v>
      </c>
      <c r="B712" t="s">
        <v>77</v>
      </c>
      <c r="C712" s="2" t="s">
        <v>180</v>
      </c>
    </row>
    <row r="713" spans="1:3" x14ac:dyDescent="0.25">
      <c r="A713" s="2" t="s">
        <v>73</v>
      </c>
      <c r="B713" t="s">
        <v>40</v>
      </c>
      <c r="C713" t="b">
        <v>0</v>
      </c>
    </row>
    <row r="714" spans="1:3" x14ac:dyDescent="0.25">
      <c r="A714" s="2" t="s">
        <v>73</v>
      </c>
      <c r="B714" t="s">
        <v>41</v>
      </c>
      <c r="C714" s="2" t="s">
        <v>51</v>
      </c>
    </row>
    <row r="715" spans="1:3" x14ac:dyDescent="0.25">
      <c r="A715" s="2" t="s">
        <v>73</v>
      </c>
      <c r="B715" t="s">
        <v>76</v>
      </c>
      <c r="C715" s="2" t="s">
        <v>428</v>
      </c>
    </row>
    <row r="716" spans="1:3" x14ac:dyDescent="0.25">
      <c r="A716" s="2" t="s">
        <v>73</v>
      </c>
      <c r="B716" t="s">
        <v>44</v>
      </c>
      <c r="C716">
        <v>7.86</v>
      </c>
    </row>
    <row r="717" spans="1:3" x14ac:dyDescent="0.25">
      <c r="A717" s="2" t="s">
        <v>73</v>
      </c>
      <c r="B717" t="s">
        <v>77</v>
      </c>
      <c r="C717" s="2" t="s">
        <v>180</v>
      </c>
    </row>
    <row r="718" spans="1:3" x14ac:dyDescent="0.25">
      <c r="A718" s="2" t="s">
        <v>74</v>
      </c>
      <c r="B718" t="s">
        <v>40</v>
      </c>
      <c r="C718" t="b">
        <v>0</v>
      </c>
    </row>
    <row r="719" spans="1:3" x14ac:dyDescent="0.25">
      <c r="A719" s="2" t="s">
        <v>74</v>
      </c>
      <c r="B719" t="s">
        <v>41</v>
      </c>
      <c r="C719" s="2" t="s">
        <v>52</v>
      </c>
    </row>
    <row r="720" spans="1:3" x14ac:dyDescent="0.25">
      <c r="A720" s="2" t="s">
        <v>74</v>
      </c>
      <c r="B720" t="s">
        <v>76</v>
      </c>
      <c r="C720" s="2" t="s">
        <v>429</v>
      </c>
    </row>
    <row r="721" spans="1:3" x14ac:dyDescent="0.25">
      <c r="A721" s="2" t="s">
        <v>74</v>
      </c>
      <c r="B721" t="s">
        <v>44</v>
      </c>
      <c r="C721">
        <v>7.86</v>
      </c>
    </row>
    <row r="722" spans="1:3" x14ac:dyDescent="0.25">
      <c r="A722" s="2" t="s">
        <v>74</v>
      </c>
      <c r="B722" t="s">
        <v>77</v>
      </c>
      <c r="C722" s="2" t="s">
        <v>180</v>
      </c>
    </row>
    <row r="723" spans="1:3" x14ac:dyDescent="0.25">
      <c r="A723" s="2" t="s">
        <v>25</v>
      </c>
      <c r="B723" t="s">
        <v>40</v>
      </c>
      <c r="C723" t="b">
        <v>0</v>
      </c>
    </row>
    <row r="724" spans="1:3" x14ac:dyDescent="0.25">
      <c r="A724" s="2" t="s">
        <v>25</v>
      </c>
      <c r="B724" t="s">
        <v>41</v>
      </c>
      <c r="C724" s="2" t="s">
        <v>53</v>
      </c>
    </row>
    <row r="725" spans="1:3" x14ac:dyDescent="0.25">
      <c r="A725" s="2" t="s">
        <v>25</v>
      </c>
      <c r="B725" t="s">
        <v>76</v>
      </c>
      <c r="C725" s="2" t="s">
        <v>430</v>
      </c>
    </row>
    <row r="726" spans="1:3" x14ac:dyDescent="0.25">
      <c r="A726" s="2" t="s">
        <v>25</v>
      </c>
      <c r="B726" t="s">
        <v>44</v>
      </c>
      <c r="C726">
        <v>10.14</v>
      </c>
    </row>
    <row r="727" spans="1:3" x14ac:dyDescent="0.25">
      <c r="A727" s="2" t="s">
        <v>25</v>
      </c>
      <c r="B727" t="s">
        <v>77</v>
      </c>
      <c r="C727" s="2" t="s">
        <v>182</v>
      </c>
    </row>
    <row r="728" spans="1:3" x14ac:dyDescent="0.25">
      <c r="A728" s="2" t="s">
        <v>80</v>
      </c>
      <c r="B728" t="s">
        <v>40</v>
      </c>
      <c r="C728" t="b">
        <v>0</v>
      </c>
    </row>
    <row r="729" spans="1:3" x14ac:dyDescent="0.25">
      <c r="A729" s="2" t="s">
        <v>80</v>
      </c>
      <c r="B729" t="s">
        <v>41</v>
      </c>
      <c r="C729" s="2" t="s">
        <v>54</v>
      </c>
    </row>
    <row r="730" spans="1:3" x14ac:dyDescent="0.25">
      <c r="A730" s="2" t="s">
        <v>80</v>
      </c>
      <c r="B730" t="s">
        <v>76</v>
      </c>
      <c r="C730" s="2" t="s">
        <v>431</v>
      </c>
    </row>
    <row r="731" spans="1:3" x14ac:dyDescent="0.25">
      <c r="A731" s="2" t="s">
        <v>80</v>
      </c>
      <c r="B731" t="s">
        <v>44</v>
      </c>
      <c r="C731">
        <v>15.14</v>
      </c>
    </row>
    <row r="732" spans="1:3" x14ac:dyDescent="0.25">
      <c r="A732" s="2" t="s">
        <v>81</v>
      </c>
      <c r="B732" t="s">
        <v>40</v>
      </c>
      <c r="C732" t="b">
        <v>0</v>
      </c>
    </row>
    <row r="733" spans="1:3" x14ac:dyDescent="0.25">
      <c r="A733" s="2" t="s">
        <v>81</v>
      </c>
      <c r="B733" t="s">
        <v>41</v>
      </c>
      <c r="C733" s="2" t="s">
        <v>55</v>
      </c>
    </row>
    <row r="734" spans="1:3" x14ac:dyDescent="0.25">
      <c r="A734" s="2" t="s">
        <v>81</v>
      </c>
      <c r="B734" t="s">
        <v>76</v>
      </c>
      <c r="C734" s="2" t="s">
        <v>432</v>
      </c>
    </row>
    <row r="735" spans="1:3" x14ac:dyDescent="0.25">
      <c r="A735" s="2" t="s">
        <v>81</v>
      </c>
      <c r="B735" t="s">
        <v>44</v>
      </c>
      <c r="C735">
        <v>9.14</v>
      </c>
    </row>
    <row r="736" spans="1:3" x14ac:dyDescent="0.25">
      <c r="A736" s="2" t="s">
        <v>81</v>
      </c>
      <c r="B736" t="s">
        <v>77</v>
      </c>
      <c r="C736" s="2" t="s">
        <v>180</v>
      </c>
    </row>
    <row r="737" spans="1:3" x14ac:dyDescent="0.25">
      <c r="A737" s="2" t="s">
        <v>82</v>
      </c>
      <c r="B737" t="s">
        <v>40</v>
      </c>
      <c r="C737" t="b">
        <v>0</v>
      </c>
    </row>
    <row r="738" spans="1:3" x14ac:dyDescent="0.25">
      <c r="A738" s="2" t="s">
        <v>82</v>
      </c>
      <c r="B738" t="s">
        <v>41</v>
      </c>
      <c r="C738" s="2" t="s">
        <v>56</v>
      </c>
    </row>
    <row r="739" spans="1:3" x14ac:dyDescent="0.25">
      <c r="A739" s="2" t="s">
        <v>82</v>
      </c>
      <c r="B739" t="s">
        <v>76</v>
      </c>
      <c r="C739" s="2" t="s">
        <v>433</v>
      </c>
    </row>
    <row r="740" spans="1:3" x14ac:dyDescent="0.25">
      <c r="A740" s="2" t="s">
        <v>82</v>
      </c>
      <c r="B740" t="s">
        <v>44</v>
      </c>
      <c r="C740">
        <v>9.57</v>
      </c>
    </row>
    <row r="741" spans="1:3" x14ac:dyDescent="0.25">
      <c r="A741" s="2" t="s">
        <v>83</v>
      </c>
      <c r="B741" t="s">
        <v>40</v>
      </c>
      <c r="C741" t="b">
        <v>0</v>
      </c>
    </row>
    <row r="742" spans="1:3" x14ac:dyDescent="0.25">
      <c r="A742" s="2" t="s">
        <v>83</v>
      </c>
      <c r="B742" t="s">
        <v>41</v>
      </c>
      <c r="C742" s="2" t="s">
        <v>57</v>
      </c>
    </row>
    <row r="743" spans="1:3" x14ac:dyDescent="0.25">
      <c r="A743" s="2" t="s">
        <v>83</v>
      </c>
      <c r="B743" t="s">
        <v>76</v>
      </c>
      <c r="C743" s="2" t="s">
        <v>434</v>
      </c>
    </row>
    <row r="744" spans="1:3" x14ac:dyDescent="0.25">
      <c r="A744" s="2" t="s">
        <v>83</v>
      </c>
      <c r="B744" t="s">
        <v>44</v>
      </c>
      <c r="C744">
        <v>8.2899999999999991</v>
      </c>
    </row>
    <row r="745" spans="1:3" x14ac:dyDescent="0.25">
      <c r="A745" s="2" t="s">
        <v>83</v>
      </c>
      <c r="B745" t="s">
        <v>77</v>
      </c>
      <c r="C745" s="2" t="s">
        <v>180</v>
      </c>
    </row>
    <row r="746" spans="1:3" x14ac:dyDescent="0.25">
      <c r="A746" s="2" t="s">
        <v>84</v>
      </c>
      <c r="B746" t="s">
        <v>40</v>
      </c>
      <c r="C746" t="b">
        <v>0</v>
      </c>
    </row>
    <row r="747" spans="1:3" x14ac:dyDescent="0.25">
      <c r="A747" s="2" t="s">
        <v>84</v>
      </c>
      <c r="B747" t="s">
        <v>41</v>
      </c>
      <c r="C747" s="2" t="s">
        <v>58</v>
      </c>
    </row>
    <row r="748" spans="1:3" x14ac:dyDescent="0.25">
      <c r="A748" s="2" t="s">
        <v>84</v>
      </c>
      <c r="B748" t="s">
        <v>76</v>
      </c>
      <c r="C748" s="2" t="s">
        <v>435</v>
      </c>
    </row>
    <row r="749" spans="1:3" x14ac:dyDescent="0.25">
      <c r="A749" s="2" t="s">
        <v>84</v>
      </c>
      <c r="B749" t="s">
        <v>44</v>
      </c>
      <c r="C749">
        <v>7.86</v>
      </c>
    </row>
    <row r="750" spans="1:3" x14ac:dyDescent="0.25">
      <c r="A750" s="2" t="s">
        <v>84</v>
      </c>
      <c r="B750" t="s">
        <v>77</v>
      </c>
      <c r="C750" s="2" t="s">
        <v>180</v>
      </c>
    </row>
    <row r="751" spans="1:3" x14ac:dyDescent="0.25">
      <c r="A751" s="2" t="s">
        <v>85</v>
      </c>
      <c r="B751" t="s">
        <v>40</v>
      </c>
      <c r="C751" t="b">
        <v>0</v>
      </c>
    </row>
    <row r="752" spans="1:3" x14ac:dyDescent="0.25">
      <c r="A752" s="2" t="s">
        <v>85</v>
      </c>
      <c r="B752" t="s">
        <v>41</v>
      </c>
      <c r="C752" s="2" t="s">
        <v>59</v>
      </c>
    </row>
    <row r="753" spans="1:3" x14ac:dyDescent="0.25">
      <c r="A753" s="2" t="s">
        <v>85</v>
      </c>
      <c r="B753" t="s">
        <v>76</v>
      </c>
      <c r="C753" s="2" t="s">
        <v>436</v>
      </c>
    </row>
    <row r="754" spans="1:3" x14ac:dyDescent="0.25">
      <c r="A754" s="2" t="s">
        <v>85</v>
      </c>
      <c r="B754" t="s">
        <v>44</v>
      </c>
      <c r="C754">
        <v>14.14</v>
      </c>
    </row>
    <row r="755" spans="1:3" x14ac:dyDescent="0.25">
      <c r="A755" s="2" t="s">
        <v>86</v>
      </c>
      <c r="B755" t="s">
        <v>40</v>
      </c>
      <c r="C755" t="b">
        <v>0</v>
      </c>
    </row>
    <row r="756" spans="1:3" x14ac:dyDescent="0.25">
      <c r="A756" s="2" t="s">
        <v>86</v>
      </c>
      <c r="B756" t="s">
        <v>41</v>
      </c>
      <c r="C756" s="2" t="s">
        <v>60</v>
      </c>
    </row>
    <row r="757" spans="1:3" x14ac:dyDescent="0.25">
      <c r="A757" s="2" t="s">
        <v>86</v>
      </c>
      <c r="B757" t="s">
        <v>76</v>
      </c>
      <c r="C757" s="2" t="s">
        <v>437</v>
      </c>
    </row>
    <row r="758" spans="1:3" x14ac:dyDescent="0.25">
      <c r="A758" s="2" t="s">
        <v>86</v>
      </c>
      <c r="B758" t="s">
        <v>44</v>
      </c>
      <c r="C758">
        <v>19.71</v>
      </c>
    </row>
    <row r="759" spans="1:3" x14ac:dyDescent="0.25">
      <c r="A759" s="2" t="s">
        <v>86</v>
      </c>
      <c r="B759" t="s">
        <v>77</v>
      </c>
      <c r="C759" s="2" t="s">
        <v>183</v>
      </c>
    </row>
    <row r="760" spans="1:3" x14ac:dyDescent="0.25">
      <c r="A760" s="2" t="s">
        <v>87</v>
      </c>
      <c r="B760" t="s">
        <v>40</v>
      </c>
      <c r="C760" t="b">
        <v>0</v>
      </c>
    </row>
    <row r="761" spans="1:3" x14ac:dyDescent="0.25">
      <c r="A761" s="2" t="s">
        <v>87</v>
      </c>
      <c r="B761" t="s">
        <v>41</v>
      </c>
      <c r="C761" s="2" t="s">
        <v>61</v>
      </c>
    </row>
    <row r="762" spans="1:3" x14ac:dyDescent="0.25">
      <c r="A762" s="2" t="s">
        <v>87</v>
      </c>
      <c r="B762" t="s">
        <v>76</v>
      </c>
      <c r="C762" s="2" t="s">
        <v>438</v>
      </c>
    </row>
    <row r="763" spans="1:3" x14ac:dyDescent="0.25">
      <c r="A763" s="2" t="s">
        <v>87</v>
      </c>
      <c r="B763" t="s">
        <v>44</v>
      </c>
      <c r="C763">
        <v>19.29</v>
      </c>
    </row>
    <row r="764" spans="1:3" x14ac:dyDescent="0.25">
      <c r="A764" s="2" t="s">
        <v>87</v>
      </c>
      <c r="B764" t="s">
        <v>77</v>
      </c>
      <c r="C764" s="2" t="s">
        <v>183</v>
      </c>
    </row>
    <row r="765" spans="1:3" x14ac:dyDescent="0.25">
      <c r="A765" s="2" t="s">
        <v>88</v>
      </c>
      <c r="B765" t="s">
        <v>40</v>
      </c>
      <c r="C765" t="b">
        <v>0</v>
      </c>
    </row>
    <row r="766" spans="1:3" x14ac:dyDescent="0.25">
      <c r="A766" s="2" t="s">
        <v>88</v>
      </c>
      <c r="B766" t="s">
        <v>41</v>
      </c>
      <c r="C766" s="2" t="s">
        <v>62</v>
      </c>
    </row>
    <row r="767" spans="1:3" x14ac:dyDescent="0.25">
      <c r="A767" s="2" t="s">
        <v>88</v>
      </c>
      <c r="B767" t="s">
        <v>76</v>
      </c>
      <c r="C767" s="2" t="s">
        <v>439</v>
      </c>
    </row>
    <row r="768" spans="1:3" x14ac:dyDescent="0.25">
      <c r="A768" s="2" t="s">
        <v>88</v>
      </c>
      <c r="B768" t="s">
        <v>44</v>
      </c>
      <c r="C768">
        <v>26.86</v>
      </c>
    </row>
    <row r="769" spans="1:3" x14ac:dyDescent="0.25">
      <c r="A769" s="2" t="s">
        <v>88</v>
      </c>
      <c r="B769" t="s">
        <v>77</v>
      </c>
      <c r="C769" s="2" t="s">
        <v>151</v>
      </c>
    </row>
    <row r="770" spans="1:3" x14ac:dyDescent="0.25">
      <c r="A770" s="2" t="s">
        <v>89</v>
      </c>
      <c r="B770" t="s">
        <v>40</v>
      </c>
      <c r="C770" t="b">
        <v>0</v>
      </c>
    </row>
    <row r="771" spans="1:3" x14ac:dyDescent="0.25">
      <c r="A771" s="2" t="s">
        <v>89</v>
      </c>
      <c r="B771" t="s">
        <v>41</v>
      </c>
      <c r="C771" s="2" t="s">
        <v>119</v>
      </c>
    </row>
    <row r="772" spans="1:3" x14ac:dyDescent="0.25">
      <c r="A772" s="2" t="s">
        <v>89</v>
      </c>
      <c r="B772" t="s">
        <v>76</v>
      </c>
      <c r="C772" s="2" t="s">
        <v>440</v>
      </c>
    </row>
    <row r="773" spans="1:3" x14ac:dyDescent="0.25">
      <c r="A773" s="2" t="s">
        <v>89</v>
      </c>
      <c r="B773" t="s">
        <v>44</v>
      </c>
      <c r="C773">
        <v>26.43</v>
      </c>
    </row>
    <row r="774" spans="1:3" x14ac:dyDescent="0.25">
      <c r="A774" s="2" t="s">
        <v>89</v>
      </c>
      <c r="B774" t="s">
        <v>77</v>
      </c>
      <c r="C774" s="2" t="s">
        <v>151</v>
      </c>
    </row>
    <row r="775" spans="1:3" x14ac:dyDescent="0.25">
      <c r="A775" s="2" t="s">
        <v>90</v>
      </c>
      <c r="B775" t="s">
        <v>40</v>
      </c>
      <c r="C775" t="b">
        <v>0</v>
      </c>
    </row>
    <row r="776" spans="1:3" x14ac:dyDescent="0.25">
      <c r="A776" s="2" t="s">
        <v>90</v>
      </c>
      <c r="B776" t="s">
        <v>41</v>
      </c>
      <c r="C776" s="2" t="s">
        <v>120</v>
      </c>
    </row>
    <row r="777" spans="1:3" x14ac:dyDescent="0.25">
      <c r="A777" s="2" t="s">
        <v>90</v>
      </c>
      <c r="B777" t="s">
        <v>76</v>
      </c>
      <c r="C777" s="2" t="s">
        <v>441</v>
      </c>
    </row>
    <row r="778" spans="1:3" x14ac:dyDescent="0.25">
      <c r="A778" s="2" t="s">
        <v>90</v>
      </c>
      <c r="B778" t="s">
        <v>44</v>
      </c>
      <c r="C778">
        <v>6.86</v>
      </c>
    </row>
    <row r="779" spans="1:3" x14ac:dyDescent="0.25">
      <c r="A779" s="2" t="s">
        <v>90</v>
      </c>
      <c r="B779" t="s">
        <v>77</v>
      </c>
      <c r="C779" s="2" t="s">
        <v>180</v>
      </c>
    </row>
    <row r="780" spans="1:3" x14ac:dyDescent="0.25">
      <c r="A780" s="2" t="s">
        <v>91</v>
      </c>
      <c r="B780" t="s">
        <v>40</v>
      </c>
      <c r="C780" t="b">
        <v>0</v>
      </c>
    </row>
    <row r="781" spans="1:3" x14ac:dyDescent="0.25">
      <c r="A781" s="2" t="s">
        <v>91</v>
      </c>
      <c r="B781" t="s">
        <v>41</v>
      </c>
      <c r="C781" s="2" t="s">
        <v>121</v>
      </c>
    </row>
    <row r="782" spans="1:3" x14ac:dyDescent="0.25">
      <c r="A782" s="2" t="s">
        <v>91</v>
      </c>
      <c r="B782" t="s">
        <v>76</v>
      </c>
      <c r="C782" s="2" t="s">
        <v>442</v>
      </c>
    </row>
    <row r="783" spans="1:3" x14ac:dyDescent="0.25">
      <c r="A783" s="2" t="s">
        <v>91</v>
      </c>
      <c r="B783" t="s">
        <v>44</v>
      </c>
      <c r="C783">
        <v>6.86</v>
      </c>
    </row>
    <row r="784" spans="1:3" x14ac:dyDescent="0.25">
      <c r="A784" s="2" t="s">
        <v>91</v>
      </c>
      <c r="B784" t="s">
        <v>77</v>
      </c>
      <c r="C784" s="2" t="s">
        <v>180</v>
      </c>
    </row>
    <row r="785" spans="1:3" x14ac:dyDescent="0.25">
      <c r="A785" s="2" t="s">
        <v>92</v>
      </c>
      <c r="B785" t="s">
        <v>40</v>
      </c>
      <c r="C785" t="b">
        <v>0</v>
      </c>
    </row>
    <row r="786" spans="1:3" x14ac:dyDescent="0.25">
      <c r="A786" s="2" t="s">
        <v>92</v>
      </c>
      <c r="B786" t="s">
        <v>41</v>
      </c>
      <c r="C786" s="2" t="s">
        <v>122</v>
      </c>
    </row>
    <row r="787" spans="1:3" x14ac:dyDescent="0.25">
      <c r="A787" s="2" t="s">
        <v>92</v>
      </c>
      <c r="B787" t="s">
        <v>76</v>
      </c>
      <c r="C787" s="2" t="s">
        <v>443</v>
      </c>
    </row>
    <row r="788" spans="1:3" x14ac:dyDescent="0.25">
      <c r="A788" s="2" t="s">
        <v>92</v>
      </c>
      <c r="B788" t="s">
        <v>44</v>
      </c>
      <c r="C788">
        <v>16.86</v>
      </c>
    </row>
    <row r="789" spans="1:3" x14ac:dyDescent="0.25">
      <c r="A789" s="2" t="s">
        <v>92</v>
      </c>
      <c r="B789" t="s">
        <v>77</v>
      </c>
      <c r="C789" s="2" t="s">
        <v>183</v>
      </c>
    </row>
    <row r="790" spans="1:3" x14ac:dyDescent="0.25">
      <c r="A790" s="2" t="s">
        <v>93</v>
      </c>
      <c r="B790" t="s">
        <v>40</v>
      </c>
      <c r="C790" t="b">
        <v>0</v>
      </c>
    </row>
    <row r="791" spans="1:3" x14ac:dyDescent="0.25">
      <c r="A791" s="2" t="s">
        <v>93</v>
      </c>
      <c r="B791" t="s">
        <v>41</v>
      </c>
      <c r="C791" s="2" t="s">
        <v>123</v>
      </c>
    </row>
    <row r="792" spans="1:3" x14ac:dyDescent="0.25">
      <c r="A792" s="2" t="s">
        <v>93</v>
      </c>
      <c r="B792" t="s">
        <v>76</v>
      </c>
      <c r="C792" s="2" t="s">
        <v>444</v>
      </c>
    </row>
    <row r="793" spans="1:3" x14ac:dyDescent="0.25">
      <c r="A793" s="2" t="s">
        <v>93</v>
      </c>
      <c r="B793" t="s">
        <v>44</v>
      </c>
      <c r="C793">
        <v>17.86</v>
      </c>
    </row>
    <row r="794" spans="1:3" x14ac:dyDescent="0.25">
      <c r="A794" s="2" t="s">
        <v>93</v>
      </c>
      <c r="B794" t="s">
        <v>77</v>
      </c>
      <c r="C794" s="2" t="s">
        <v>183</v>
      </c>
    </row>
    <row r="795" spans="1:3" x14ac:dyDescent="0.25">
      <c r="A795" s="2" t="s">
        <v>94</v>
      </c>
      <c r="B795" t="s">
        <v>40</v>
      </c>
      <c r="C795" t="b">
        <v>0</v>
      </c>
    </row>
    <row r="796" spans="1:3" x14ac:dyDescent="0.25">
      <c r="A796" s="2" t="s">
        <v>94</v>
      </c>
      <c r="B796" t="s">
        <v>41</v>
      </c>
      <c r="C796" s="2" t="s">
        <v>124</v>
      </c>
    </row>
    <row r="797" spans="1:3" x14ac:dyDescent="0.25">
      <c r="A797" s="2" t="s">
        <v>94</v>
      </c>
      <c r="B797" t="s">
        <v>76</v>
      </c>
      <c r="C797" s="2" t="s">
        <v>445</v>
      </c>
    </row>
    <row r="798" spans="1:3" x14ac:dyDescent="0.25">
      <c r="A798" s="2" t="s">
        <v>94</v>
      </c>
      <c r="B798" t="s">
        <v>44</v>
      </c>
      <c r="C798">
        <v>23.86</v>
      </c>
    </row>
    <row r="799" spans="1:3" x14ac:dyDescent="0.25">
      <c r="A799" s="2" t="s">
        <v>94</v>
      </c>
      <c r="B799" t="s">
        <v>77</v>
      </c>
      <c r="C799" s="2" t="s">
        <v>151</v>
      </c>
    </row>
    <row r="800" spans="1:3" x14ac:dyDescent="0.25">
      <c r="A800" s="2" t="s">
        <v>95</v>
      </c>
      <c r="B800" t="s">
        <v>40</v>
      </c>
      <c r="C800" t="b">
        <v>0</v>
      </c>
    </row>
    <row r="801" spans="1:3" x14ac:dyDescent="0.25">
      <c r="A801" s="2" t="s">
        <v>95</v>
      </c>
      <c r="B801" t="s">
        <v>41</v>
      </c>
      <c r="C801" s="2" t="s">
        <v>125</v>
      </c>
    </row>
    <row r="802" spans="1:3" x14ac:dyDescent="0.25">
      <c r="A802" s="2" t="s">
        <v>95</v>
      </c>
      <c r="B802" t="s">
        <v>76</v>
      </c>
      <c r="C802" s="2" t="s">
        <v>446</v>
      </c>
    </row>
    <row r="803" spans="1:3" x14ac:dyDescent="0.25">
      <c r="A803" s="2" t="s">
        <v>95</v>
      </c>
      <c r="B803" t="s">
        <v>44</v>
      </c>
      <c r="C803">
        <v>25</v>
      </c>
    </row>
    <row r="804" spans="1:3" x14ac:dyDescent="0.25">
      <c r="A804" s="2" t="s">
        <v>95</v>
      </c>
      <c r="B804" t="s">
        <v>77</v>
      </c>
      <c r="C804" s="2" t="s">
        <v>151</v>
      </c>
    </row>
    <row r="805" spans="1:3" x14ac:dyDescent="0.25">
      <c r="A805" s="2" t="s">
        <v>96</v>
      </c>
      <c r="B805" t="s">
        <v>40</v>
      </c>
      <c r="C805" t="b">
        <v>0</v>
      </c>
    </row>
    <row r="806" spans="1:3" x14ac:dyDescent="0.25">
      <c r="A806" s="2" t="s">
        <v>96</v>
      </c>
      <c r="B806" t="s">
        <v>41</v>
      </c>
      <c r="C806" s="2" t="s">
        <v>126</v>
      </c>
    </row>
    <row r="807" spans="1:3" x14ac:dyDescent="0.25">
      <c r="A807" s="2" t="s">
        <v>96</v>
      </c>
      <c r="B807" t="s">
        <v>76</v>
      </c>
      <c r="C807" s="2" t="s">
        <v>447</v>
      </c>
    </row>
    <row r="808" spans="1:3" x14ac:dyDescent="0.25">
      <c r="A808" s="2" t="s">
        <v>96</v>
      </c>
      <c r="B808" t="s">
        <v>44</v>
      </c>
      <c r="C808">
        <v>19.29</v>
      </c>
    </row>
    <row r="809" spans="1:3" x14ac:dyDescent="0.25">
      <c r="A809" s="2" t="s">
        <v>96</v>
      </c>
      <c r="B809" t="s">
        <v>77</v>
      </c>
      <c r="C809" s="2" t="s">
        <v>182</v>
      </c>
    </row>
    <row r="810" spans="1:3" x14ac:dyDescent="0.25">
      <c r="A810" s="2" t="s">
        <v>97</v>
      </c>
      <c r="B810" t="s">
        <v>40</v>
      </c>
      <c r="C810" t="b">
        <v>0</v>
      </c>
    </row>
    <row r="811" spans="1:3" x14ac:dyDescent="0.25">
      <c r="A811" s="2" t="s">
        <v>97</v>
      </c>
      <c r="B811" t="s">
        <v>41</v>
      </c>
      <c r="C811" s="2" t="s">
        <v>127</v>
      </c>
    </row>
    <row r="812" spans="1:3" x14ac:dyDescent="0.25">
      <c r="A812" s="2" t="s">
        <v>97</v>
      </c>
      <c r="B812" t="s">
        <v>76</v>
      </c>
      <c r="C812" s="2" t="s">
        <v>448</v>
      </c>
    </row>
    <row r="813" spans="1:3" x14ac:dyDescent="0.25">
      <c r="A813" s="2" t="s">
        <v>97</v>
      </c>
      <c r="B813" t="s">
        <v>44</v>
      </c>
      <c r="C813">
        <v>18.29</v>
      </c>
    </row>
    <row r="814" spans="1:3" x14ac:dyDescent="0.25">
      <c r="A814" s="2" t="s">
        <v>97</v>
      </c>
      <c r="B814" t="s">
        <v>77</v>
      </c>
      <c r="C814" s="2" t="s">
        <v>180</v>
      </c>
    </row>
    <row r="815" spans="1:3" x14ac:dyDescent="0.25">
      <c r="A815" s="2" t="s">
        <v>98</v>
      </c>
      <c r="B815" t="s">
        <v>40</v>
      </c>
      <c r="C815" t="b">
        <v>0</v>
      </c>
    </row>
    <row r="816" spans="1:3" x14ac:dyDescent="0.25">
      <c r="A816" s="2" t="s">
        <v>98</v>
      </c>
      <c r="B816" t="s">
        <v>41</v>
      </c>
      <c r="C816" s="2" t="s">
        <v>128</v>
      </c>
    </row>
    <row r="817" spans="1:3" x14ac:dyDescent="0.25">
      <c r="A817" s="2" t="s">
        <v>98</v>
      </c>
      <c r="B817" t="s">
        <v>76</v>
      </c>
      <c r="C817" s="2" t="s">
        <v>449</v>
      </c>
    </row>
    <row r="818" spans="1:3" x14ac:dyDescent="0.25">
      <c r="A818" s="2" t="s">
        <v>98</v>
      </c>
      <c r="B818" t="s">
        <v>44</v>
      </c>
      <c r="C818">
        <v>6.29</v>
      </c>
    </row>
    <row r="819" spans="1:3" x14ac:dyDescent="0.25">
      <c r="A819" s="2" t="s">
        <v>99</v>
      </c>
      <c r="B819" t="s">
        <v>40</v>
      </c>
      <c r="C819" t="b">
        <v>0</v>
      </c>
    </row>
    <row r="820" spans="1:3" x14ac:dyDescent="0.25">
      <c r="A820" s="2" t="s">
        <v>99</v>
      </c>
      <c r="B820" t="s">
        <v>41</v>
      </c>
      <c r="C820" s="2" t="s">
        <v>129</v>
      </c>
    </row>
    <row r="821" spans="1:3" x14ac:dyDescent="0.25">
      <c r="A821" s="2" t="s">
        <v>99</v>
      </c>
      <c r="B821" t="s">
        <v>76</v>
      </c>
      <c r="C821" s="2" t="s">
        <v>450</v>
      </c>
    </row>
    <row r="822" spans="1:3" x14ac:dyDescent="0.25">
      <c r="A822" s="2" t="s">
        <v>99</v>
      </c>
      <c r="B822" t="s">
        <v>44</v>
      </c>
      <c r="C822">
        <v>4.29</v>
      </c>
    </row>
    <row r="823" spans="1:3" x14ac:dyDescent="0.25">
      <c r="A823" s="2" t="s">
        <v>100</v>
      </c>
      <c r="B823" t="s">
        <v>40</v>
      </c>
      <c r="C823" t="b">
        <v>0</v>
      </c>
    </row>
    <row r="824" spans="1:3" x14ac:dyDescent="0.25">
      <c r="A824" s="2" t="s">
        <v>100</v>
      </c>
      <c r="B824" t="s">
        <v>41</v>
      </c>
      <c r="C824" s="2" t="s">
        <v>130</v>
      </c>
    </row>
    <row r="825" spans="1:3" x14ac:dyDescent="0.25">
      <c r="A825" s="2" t="s">
        <v>100</v>
      </c>
      <c r="B825" t="s">
        <v>76</v>
      </c>
      <c r="C825" s="2" t="s">
        <v>451</v>
      </c>
    </row>
    <row r="826" spans="1:3" x14ac:dyDescent="0.25">
      <c r="A826" s="2" t="s">
        <v>100</v>
      </c>
      <c r="B826" t="s">
        <v>44</v>
      </c>
      <c r="C826">
        <v>17</v>
      </c>
    </row>
    <row r="827" spans="1:3" x14ac:dyDescent="0.25">
      <c r="A827" s="2" t="s">
        <v>101</v>
      </c>
      <c r="B827" t="s">
        <v>40</v>
      </c>
      <c r="C827" t="b">
        <v>0</v>
      </c>
    </row>
    <row r="828" spans="1:3" x14ac:dyDescent="0.25">
      <c r="A828" s="2" t="s">
        <v>101</v>
      </c>
      <c r="B828" t="s">
        <v>41</v>
      </c>
      <c r="C828" s="2" t="s">
        <v>131</v>
      </c>
    </row>
    <row r="829" spans="1:3" x14ac:dyDescent="0.25">
      <c r="A829" s="2" t="s">
        <v>101</v>
      </c>
      <c r="B829" t="s">
        <v>76</v>
      </c>
      <c r="C829" s="2" t="s">
        <v>452</v>
      </c>
    </row>
    <row r="830" spans="1:3" x14ac:dyDescent="0.25">
      <c r="A830" s="2" t="s">
        <v>101</v>
      </c>
      <c r="B830" t="s">
        <v>44</v>
      </c>
      <c r="C830">
        <v>17.43</v>
      </c>
    </row>
    <row r="831" spans="1:3" x14ac:dyDescent="0.25">
      <c r="A831" s="2" t="s">
        <v>102</v>
      </c>
      <c r="B831" t="s">
        <v>40</v>
      </c>
      <c r="C831" t="b">
        <v>0</v>
      </c>
    </row>
    <row r="832" spans="1:3" x14ac:dyDescent="0.25">
      <c r="A832" s="2" t="s">
        <v>102</v>
      </c>
      <c r="B832" t="s">
        <v>41</v>
      </c>
      <c r="C832" s="2" t="s">
        <v>132</v>
      </c>
    </row>
    <row r="833" spans="1:3" x14ac:dyDescent="0.25">
      <c r="A833" s="2" t="s">
        <v>102</v>
      </c>
      <c r="B833" t="s">
        <v>76</v>
      </c>
      <c r="C833" s="2" t="s">
        <v>453</v>
      </c>
    </row>
    <row r="834" spans="1:3" x14ac:dyDescent="0.25">
      <c r="A834" s="2" t="s">
        <v>102</v>
      </c>
      <c r="B834" t="s">
        <v>44</v>
      </c>
      <c r="C834">
        <v>14.43</v>
      </c>
    </row>
    <row r="835" spans="1:3" x14ac:dyDescent="0.25">
      <c r="A835" s="2" t="s">
        <v>103</v>
      </c>
      <c r="B835" t="s">
        <v>40</v>
      </c>
      <c r="C835" t="b">
        <v>0</v>
      </c>
    </row>
    <row r="836" spans="1:3" x14ac:dyDescent="0.25">
      <c r="A836" s="2" t="s">
        <v>103</v>
      </c>
      <c r="B836" t="s">
        <v>41</v>
      </c>
      <c r="C836" s="2" t="s">
        <v>133</v>
      </c>
    </row>
    <row r="837" spans="1:3" x14ac:dyDescent="0.25">
      <c r="A837" s="2" t="s">
        <v>103</v>
      </c>
      <c r="B837" t="s">
        <v>76</v>
      </c>
      <c r="C837" s="2" t="s">
        <v>454</v>
      </c>
    </row>
    <row r="838" spans="1:3" x14ac:dyDescent="0.25">
      <c r="A838" s="2" t="s">
        <v>103</v>
      </c>
      <c r="B838" t="s">
        <v>44</v>
      </c>
      <c r="C838">
        <v>12.86</v>
      </c>
    </row>
    <row r="839" spans="1:3" x14ac:dyDescent="0.25">
      <c r="A839" s="2" t="s">
        <v>104</v>
      </c>
      <c r="B839" t="s">
        <v>40</v>
      </c>
      <c r="C839" t="b">
        <v>0</v>
      </c>
    </row>
    <row r="840" spans="1:3" x14ac:dyDescent="0.25">
      <c r="A840" s="2" t="s">
        <v>104</v>
      </c>
      <c r="B840" t="s">
        <v>41</v>
      </c>
      <c r="C840" s="2" t="s">
        <v>134</v>
      </c>
    </row>
    <row r="841" spans="1:3" x14ac:dyDescent="0.25">
      <c r="A841" s="2" t="s">
        <v>104</v>
      </c>
      <c r="B841" t="s">
        <v>76</v>
      </c>
      <c r="C841" s="2" t="s">
        <v>455</v>
      </c>
    </row>
    <row r="842" spans="1:3" x14ac:dyDescent="0.25">
      <c r="A842" s="2" t="s">
        <v>104</v>
      </c>
      <c r="B842" t="s">
        <v>44</v>
      </c>
      <c r="C842">
        <v>10</v>
      </c>
    </row>
    <row r="843" spans="1:3" x14ac:dyDescent="0.25">
      <c r="A843" s="2" t="s">
        <v>105</v>
      </c>
      <c r="B843" t="s">
        <v>40</v>
      </c>
      <c r="C843" t="b">
        <v>0</v>
      </c>
    </row>
    <row r="844" spans="1:3" x14ac:dyDescent="0.25">
      <c r="A844" s="2" t="s">
        <v>105</v>
      </c>
      <c r="B844" t="s">
        <v>41</v>
      </c>
      <c r="C844" s="2" t="s">
        <v>135</v>
      </c>
    </row>
    <row r="845" spans="1:3" x14ac:dyDescent="0.25">
      <c r="A845" s="2" t="s">
        <v>105</v>
      </c>
      <c r="B845" t="s">
        <v>76</v>
      </c>
      <c r="C845" s="2" t="s">
        <v>456</v>
      </c>
    </row>
    <row r="846" spans="1:3" x14ac:dyDescent="0.25">
      <c r="A846" s="2" t="s">
        <v>105</v>
      </c>
      <c r="B846" t="s">
        <v>44</v>
      </c>
      <c r="C846">
        <v>13</v>
      </c>
    </row>
    <row r="847" spans="1:3" x14ac:dyDescent="0.25">
      <c r="A847" s="2" t="s">
        <v>106</v>
      </c>
      <c r="B847" t="s">
        <v>40</v>
      </c>
      <c r="C847" t="b">
        <v>0</v>
      </c>
    </row>
    <row r="848" spans="1:3" x14ac:dyDescent="0.25">
      <c r="A848" s="2" t="s">
        <v>106</v>
      </c>
      <c r="B848" t="s">
        <v>41</v>
      </c>
      <c r="C848" s="2" t="s">
        <v>136</v>
      </c>
    </row>
    <row r="849" spans="1:3" x14ac:dyDescent="0.25">
      <c r="A849" s="2" t="s">
        <v>106</v>
      </c>
      <c r="B849" t="s">
        <v>76</v>
      </c>
      <c r="C849" s="2" t="s">
        <v>457</v>
      </c>
    </row>
    <row r="850" spans="1:3" x14ac:dyDescent="0.25">
      <c r="A850" s="2" t="s">
        <v>106</v>
      </c>
      <c r="B850" t="s">
        <v>44</v>
      </c>
      <c r="C850">
        <v>13.43</v>
      </c>
    </row>
    <row r="851" spans="1:3" x14ac:dyDescent="0.25">
      <c r="A851" s="2" t="s">
        <v>107</v>
      </c>
      <c r="B851" t="s">
        <v>40</v>
      </c>
      <c r="C851" t="b">
        <v>0</v>
      </c>
    </row>
    <row r="852" spans="1:3" x14ac:dyDescent="0.25">
      <c r="A852" s="2" t="s">
        <v>107</v>
      </c>
      <c r="B852" t="s">
        <v>41</v>
      </c>
      <c r="C852" s="2" t="s">
        <v>137</v>
      </c>
    </row>
    <row r="853" spans="1:3" x14ac:dyDescent="0.25">
      <c r="A853" s="2" t="s">
        <v>107</v>
      </c>
      <c r="B853" t="s">
        <v>76</v>
      </c>
      <c r="C853" s="2" t="s">
        <v>458</v>
      </c>
    </row>
    <row r="854" spans="1:3" x14ac:dyDescent="0.25">
      <c r="A854" s="2" t="s">
        <v>107</v>
      </c>
      <c r="B854" t="s">
        <v>44</v>
      </c>
      <c r="C854">
        <v>14.57</v>
      </c>
    </row>
    <row r="855" spans="1:3" x14ac:dyDescent="0.25">
      <c r="A855" s="2" t="s">
        <v>108</v>
      </c>
      <c r="B855" t="s">
        <v>40</v>
      </c>
      <c r="C855" t="b">
        <v>0</v>
      </c>
    </row>
    <row r="856" spans="1:3" x14ac:dyDescent="0.25">
      <c r="A856" s="2" t="s">
        <v>108</v>
      </c>
      <c r="B856" t="s">
        <v>41</v>
      </c>
      <c r="C856" s="2" t="s">
        <v>138</v>
      </c>
    </row>
    <row r="857" spans="1:3" x14ac:dyDescent="0.25">
      <c r="A857" s="2" t="s">
        <v>108</v>
      </c>
      <c r="B857" t="s">
        <v>76</v>
      </c>
      <c r="C857" s="2" t="s">
        <v>459</v>
      </c>
    </row>
    <row r="858" spans="1:3" x14ac:dyDescent="0.25">
      <c r="A858" s="2" t="s">
        <v>108</v>
      </c>
      <c r="B858" t="s">
        <v>44</v>
      </c>
      <c r="C858">
        <v>15.71</v>
      </c>
    </row>
    <row r="859" spans="1:3" x14ac:dyDescent="0.25">
      <c r="A859" s="2" t="s">
        <v>109</v>
      </c>
      <c r="B859" t="s">
        <v>40</v>
      </c>
      <c r="C859" t="b">
        <v>0</v>
      </c>
    </row>
    <row r="860" spans="1:3" x14ac:dyDescent="0.25">
      <c r="A860" s="2" t="s">
        <v>109</v>
      </c>
      <c r="B860" t="s">
        <v>41</v>
      </c>
      <c r="C860" s="2" t="s">
        <v>139</v>
      </c>
    </row>
    <row r="861" spans="1:3" x14ac:dyDescent="0.25">
      <c r="A861" s="2" t="s">
        <v>109</v>
      </c>
      <c r="B861" t="s">
        <v>76</v>
      </c>
      <c r="C861" s="2" t="s">
        <v>460</v>
      </c>
    </row>
    <row r="862" spans="1:3" x14ac:dyDescent="0.25">
      <c r="A862" s="2" t="s">
        <v>109</v>
      </c>
      <c r="B862" t="s">
        <v>44</v>
      </c>
      <c r="C862">
        <v>9.86</v>
      </c>
    </row>
    <row r="863" spans="1:3" x14ac:dyDescent="0.25">
      <c r="A863" s="2" t="s">
        <v>110</v>
      </c>
      <c r="B863" t="s">
        <v>40</v>
      </c>
      <c r="C863" t="b">
        <v>0</v>
      </c>
    </row>
    <row r="864" spans="1:3" x14ac:dyDescent="0.25">
      <c r="A864" s="2" t="s">
        <v>110</v>
      </c>
      <c r="B864" t="s">
        <v>41</v>
      </c>
      <c r="C864" s="2" t="s">
        <v>140</v>
      </c>
    </row>
    <row r="865" spans="1:3" x14ac:dyDescent="0.25">
      <c r="A865" s="2" t="s">
        <v>110</v>
      </c>
      <c r="B865" t="s">
        <v>76</v>
      </c>
      <c r="C865" s="2" t="s">
        <v>461</v>
      </c>
    </row>
    <row r="866" spans="1:3" x14ac:dyDescent="0.25">
      <c r="A866" s="2" t="s">
        <v>110</v>
      </c>
      <c r="B866" t="s">
        <v>44</v>
      </c>
      <c r="C866">
        <v>9.14</v>
      </c>
    </row>
    <row r="867" spans="1:3" x14ac:dyDescent="0.25">
      <c r="A867" s="2" t="s">
        <v>111</v>
      </c>
      <c r="B867" t="s">
        <v>40</v>
      </c>
      <c r="C867" t="b">
        <v>0</v>
      </c>
    </row>
    <row r="868" spans="1:3" x14ac:dyDescent="0.25">
      <c r="A868" s="2" t="s">
        <v>111</v>
      </c>
      <c r="B868" t="s">
        <v>41</v>
      </c>
      <c r="C868" s="2" t="s">
        <v>141</v>
      </c>
    </row>
    <row r="869" spans="1:3" x14ac:dyDescent="0.25">
      <c r="A869" s="2" t="s">
        <v>111</v>
      </c>
      <c r="B869" t="s">
        <v>76</v>
      </c>
      <c r="C869" s="2" t="s">
        <v>462</v>
      </c>
    </row>
    <row r="870" spans="1:3" x14ac:dyDescent="0.25">
      <c r="A870" s="2" t="s">
        <v>111</v>
      </c>
      <c r="B870" t="s">
        <v>44</v>
      </c>
      <c r="C870">
        <v>9.2899999999999991</v>
      </c>
    </row>
    <row r="871" spans="1:3" x14ac:dyDescent="0.25">
      <c r="A871" s="2" t="s">
        <v>112</v>
      </c>
      <c r="B871" t="s">
        <v>40</v>
      </c>
      <c r="C871" t="b">
        <v>0</v>
      </c>
    </row>
    <row r="872" spans="1:3" x14ac:dyDescent="0.25">
      <c r="A872" s="2" t="s">
        <v>112</v>
      </c>
      <c r="B872" t="s">
        <v>41</v>
      </c>
      <c r="C872" s="2" t="s">
        <v>142</v>
      </c>
    </row>
    <row r="873" spans="1:3" x14ac:dyDescent="0.25">
      <c r="A873" s="2" t="s">
        <v>112</v>
      </c>
      <c r="B873" t="s">
        <v>76</v>
      </c>
      <c r="C873" s="2" t="s">
        <v>463</v>
      </c>
    </row>
    <row r="874" spans="1:3" x14ac:dyDescent="0.25">
      <c r="A874" s="2" t="s">
        <v>112</v>
      </c>
      <c r="B874" t="s">
        <v>44</v>
      </c>
      <c r="C874">
        <v>21.57</v>
      </c>
    </row>
    <row r="875" spans="1:3" x14ac:dyDescent="0.25">
      <c r="A875" s="2" t="s">
        <v>113</v>
      </c>
      <c r="B875" t="s">
        <v>40</v>
      </c>
      <c r="C875" t="b">
        <v>0</v>
      </c>
    </row>
    <row r="876" spans="1:3" x14ac:dyDescent="0.25">
      <c r="A876" s="2" t="s">
        <v>113</v>
      </c>
      <c r="B876" t="s">
        <v>41</v>
      </c>
      <c r="C876" s="2" t="s">
        <v>143</v>
      </c>
    </row>
    <row r="877" spans="1:3" x14ac:dyDescent="0.25">
      <c r="A877" s="2" t="s">
        <v>113</v>
      </c>
      <c r="B877" t="s">
        <v>76</v>
      </c>
      <c r="C877" s="2" t="s">
        <v>464</v>
      </c>
    </row>
    <row r="878" spans="1:3" x14ac:dyDescent="0.25">
      <c r="A878" s="2" t="s">
        <v>113</v>
      </c>
      <c r="B878" t="s">
        <v>44</v>
      </c>
      <c r="C878">
        <v>19</v>
      </c>
    </row>
    <row r="879" spans="1:3" x14ac:dyDescent="0.25">
      <c r="A879" s="2" t="s">
        <v>114</v>
      </c>
      <c r="B879" t="s">
        <v>40</v>
      </c>
      <c r="C879" t="b">
        <v>0</v>
      </c>
    </row>
    <row r="880" spans="1:3" x14ac:dyDescent="0.25">
      <c r="A880" s="2" t="s">
        <v>114</v>
      </c>
      <c r="B880" t="s">
        <v>41</v>
      </c>
      <c r="C880" s="2" t="s">
        <v>144</v>
      </c>
    </row>
    <row r="881" spans="1:3" x14ac:dyDescent="0.25">
      <c r="A881" s="2" t="s">
        <v>114</v>
      </c>
      <c r="B881" t="s">
        <v>76</v>
      </c>
      <c r="C881" s="2" t="s">
        <v>465</v>
      </c>
    </row>
    <row r="882" spans="1:3" x14ac:dyDescent="0.25">
      <c r="A882" s="2" t="s">
        <v>114</v>
      </c>
      <c r="B882" t="s">
        <v>44</v>
      </c>
      <c r="C882">
        <v>7</v>
      </c>
    </row>
    <row r="883" spans="1:3" x14ac:dyDescent="0.25">
      <c r="A883" s="2" t="s">
        <v>115</v>
      </c>
      <c r="B883" t="s">
        <v>40</v>
      </c>
      <c r="C883" t="b">
        <v>0</v>
      </c>
    </row>
    <row r="884" spans="1:3" x14ac:dyDescent="0.25">
      <c r="A884" s="2" t="s">
        <v>115</v>
      </c>
      <c r="B884" t="s">
        <v>41</v>
      </c>
      <c r="C884" s="2" t="s">
        <v>145</v>
      </c>
    </row>
    <row r="885" spans="1:3" x14ac:dyDescent="0.25">
      <c r="A885" s="2" t="s">
        <v>115</v>
      </c>
      <c r="B885" t="s">
        <v>76</v>
      </c>
      <c r="C885" s="2" t="s">
        <v>466</v>
      </c>
    </row>
    <row r="886" spans="1:3" x14ac:dyDescent="0.25">
      <c r="A886" s="2" t="s">
        <v>115</v>
      </c>
      <c r="B886" t="s">
        <v>44</v>
      </c>
      <c r="C886">
        <v>16.29</v>
      </c>
    </row>
    <row r="887" spans="1:3" x14ac:dyDescent="0.25">
      <c r="A887" s="2" t="s">
        <v>116</v>
      </c>
      <c r="B887" t="s">
        <v>40</v>
      </c>
      <c r="C887" t="b">
        <v>0</v>
      </c>
    </row>
    <row r="888" spans="1:3" x14ac:dyDescent="0.25">
      <c r="A888" s="2" t="s">
        <v>116</v>
      </c>
      <c r="B888" t="s">
        <v>41</v>
      </c>
      <c r="C888" s="2" t="s">
        <v>146</v>
      </c>
    </row>
    <row r="889" spans="1:3" x14ac:dyDescent="0.25">
      <c r="A889" s="2" t="s">
        <v>116</v>
      </c>
      <c r="B889" t="s">
        <v>76</v>
      </c>
      <c r="C889" s="2" t="s">
        <v>467</v>
      </c>
    </row>
    <row r="890" spans="1:3" x14ac:dyDescent="0.25">
      <c r="A890" s="2" t="s">
        <v>116</v>
      </c>
      <c r="B890" t="s">
        <v>44</v>
      </c>
      <c r="C890">
        <v>13.43</v>
      </c>
    </row>
    <row r="891" spans="1:3" x14ac:dyDescent="0.25">
      <c r="A891" s="2" t="s">
        <v>117</v>
      </c>
      <c r="B891" t="s">
        <v>40</v>
      </c>
      <c r="C891" t="b">
        <v>0</v>
      </c>
    </row>
    <row r="892" spans="1:3" x14ac:dyDescent="0.25">
      <c r="A892" s="2" t="s">
        <v>117</v>
      </c>
      <c r="B892" t="s">
        <v>41</v>
      </c>
      <c r="C892" s="2" t="s">
        <v>147</v>
      </c>
    </row>
    <row r="893" spans="1:3" x14ac:dyDescent="0.25">
      <c r="A893" s="2" t="s">
        <v>117</v>
      </c>
      <c r="B893" t="s">
        <v>76</v>
      </c>
      <c r="C893" s="2" t="s">
        <v>468</v>
      </c>
    </row>
    <row r="894" spans="1:3" x14ac:dyDescent="0.25">
      <c r="A894" s="2" t="s">
        <v>117</v>
      </c>
      <c r="B894" t="s">
        <v>44</v>
      </c>
      <c r="C894">
        <v>11.14</v>
      </c>
    </row>
    <row r="895" spans="1:3" x14ac:dyDescent="0.25">
      <c r="A895" s="2" t="s">
        <v>118</v>
      </c>
      <c r="B895" t="s">
        <v>40</v>
      </c>
      <c r="C895" t="b">
        <v>0</v>
      </c>
    </row>
    <row r="896" spans="1:3" x14ac:dyDescent="0.25">
      <c r="A896" s="2" t="s">
        <v>118</v>
      </c>
      <c r="B896" t="s">
        <v>41</v>
      </c>
      <c r="C896" s="2" t="s">
        <v>148</v>
      </c>
    </row>
    <row r="897" spans="1:3" x14ac:dyDescent="0.25">
      <c r="A897" s="2" t="s">
        <v>118</v>
      </c>
      <c r="B897" t="s">
        <v>76</v>
      </c>
      <c r="C897" s="2" t="s">
        <v>469</v>
      </c>
    </row>
    <row r="898" spans="1:3" x14ac:dyDescent="0.25">
      <c r="A898" s="2" t="s">
        <v>118</v>
      </c>
      <c r="B898" t="s">
        <v>44</v>
      </c>
      <c r="C898">
        <v>5.57</v>
      </c>
    </row>
    <row r="899" spans="1:3" x14ac:dyDescent="0.25">
      <c r="A899" s="2" t="s">
        <v>27</v>
      </c>
      <c r="B899" t="s">
        <v>40</v>
      </c>
      <c r="C899" t="b">
        <v>0</v>
      </c>
    </row>
    <row r="900" spans="1:3" x14ac:dyDescent="0.25">
      <c r="A900" s="2" t="s">
        <v>27</v>
      </c>
      <c r="B900" t="s">
        <v>41</v>
      </c>
      <c r="C900" s="2" t="s">
        <v>149</v>
      </c>
    </row>
    <row r="901" spans="1:3" x14ac:dyDescent="0.25">
      <c r="A901" s="2" t="s">
        <v>27</v>
      </c>
      <c r="B901" t="s">
        <v>76</v>
      </c>
      <c r="C901" s="2" t="s">
        <v>470</v>
      </c>
    </row>
    <row r="902" spans="1:3" x14ac:dyDescent="0.25">
      <c r="A902" s="2" t="s">
        <v>27</v>
      </c>
      <c r="B902" t="s">
        <v>44</v>
      </c>
      <c r="C902">
        <v>20.71</v>
      </c>
    </row>
    <row r="903" spans="1:3" x14ac:dyDescent="0.25">
      <c r="A903" s="2" t="s">
        <v>27</v>
      </c>
      <c r="B903" t="s">
        <v>77</v>
      </c>
      <c r="C903" s="2" t="s">
        <v>79</v>
      </c>
    </row>
    <row r="904" spans="1:3" x14ac:dyDescent="0.25">
      <c r="A904" s="2" t="s">
        <v>28</v>
      </c>
      <c r="B904" t="s">
        <v>40</v>
      </c>
      <c r="C904" t="b">
        <v>0</v>
      </c>
    </row>
    <row r="905" spans="1:3" x14ac:dyDescent="0.25">
      <c r="A905" s="2" t="s">
        <v>28</v>
      </c>
      <c r="B905" t="s">
        <v>41</v>
      </c>
      <c r="C905" s="2" t="s">
        <v>150</v>
      </c>
    </row>
    <row r="906" spans="1:3" x14ac:dyDescent="0.25">
      <c r="A906" s="2" t="s">
        <v>28</v>
      </c>
      <c r="B906" t="s">
        <v>76</v>
      </c>
      <c r="C906" s="2" t="s">
        <v>471</v>
      </c>
    </row>
    <row r="907" spans="1:3" x14ac:dyDescent="0.25">
      <c r="A907" s="2" t="s">
        <v>28</v>
      </c>
      <c r="B907" t="s">
        <v>44</v>
      </c>
      <c r="C907">
        <v>16.14</v>
      </c>
    </row>
    <row r="908" spans="1:3" x14ac:dyDescent="0.25">
      <c r="A908" s="2" t="s">
        <v>21</v>
      </c>
      <c r="B908" t="s">
        <v>184</v>
      </c>
      <c r="C908" s="2" t="s">
        <v>185</v>
      </c>
    </row>
    <row r="909" spans="1:3" x14ac:dyDescent="0.25">
      <c r="A909" s="2" t="s">
        <v>21</v>
      </c>
      <c r="B909" t="s">
        <v>186</v>
      </c>
      <c r="C909">
        <v>3</v>
      </c>
    </row>
    <row r="910" spans="1:3" x14ac:dyDescent="0.25">
      <c r="A910" s="2" t="s">
        <v>21</v>
      </c>
      <c r="B910" t="s">
        <v>187</v>
      </c>
      <c r="C910">
        <v>6</v>
      </c>
    </row>
    <row r="911" spans="1:3" x14ac:dyDescent="0.25">
      <c r="A911" s="2" t="s">
        <v>21</v>
      </c>
      <c r="B911" t="s">
        <v>188</v>
      </c>
      <c r="C911">
        <v>1</v>
      </c>
    </row>
    <row r="912" spans="1:3" x14ac:dyDescent="0.25">
      <c r="A912" s="2" t="s">
        <v>21</v>
      </c>
      <c r="B912" t="s">
        <v>189</v>
      </c>
      <c r="C912">
        <v>-7.6E-3</v>
      </c>
    </row>
    <row r="913" spans="1:3" x14ac:dyDescent="0.25">
      <c r="A913" s="2" t="s">
        <v>21</v>
      </c>
      <c r="B913" t="s">
        <v>190</v>
      </c>
      <c r="C913">
        <v>7039480</v>
      </c>
    </row>
    <row r="914" spans="1:3" x14ac:dyDescent="0.25">
      <c r="A914" s="2" t="s">
        <v>21</v>
      </c>
      <c r="B914" t="s">
        <v>191</v>
      </c>
      <c r="C914">
        <v>5</v>
      </c>
    </row>
    <row r="915" spans="1:3" x14ac:dyDescent="0.25">
      <c r="A915" s="2" t="s">
        <v>21</v>
      </c>
      <c r="B915" t="s">
        <v>192</v>
      </c>
      <c r="C915">
        <v>50</v>
      </c>
    </row>
    <row r="916" spans="1:3" x14ac:dyDescent="0.25">
      <c r="A916" s="2" t="s">
        <v>21</v>
      </c>
      <c r="B916" t="s">
        <v>193</v>
      </c>
      <c r="C916">
        <v>8711167</v>
      </c>
    </row>
    <row r="917" spans="1:3" x14ac:dyDescent="0.25">
      <c r="A917" s="2" t="s">
        <v>21</v>
      </c>
      <c r="B917" t="s">
        <v>194</v>
      </c>
      <c r="C917">
        <v>2</v>
      </c>
    </row>
    <row r="918" spans="1:3" x14ac:dyDescent="0.25">
      <c r="A918" s="2" t="s">
        <v>21</v>
      </c>
      <c r="B918" t="s">
        <v>195</v>
      </c>
      <c r="C918">
        <v>3.6200000000000003E-2</v>
      </c>
    </row>
    <row r="919" spans="1:3" x14ac:dyDescent="0.25">
      <c r="A919" s="2" t="s">
        <v>21</v>
      </c>
      <c r="B919" t="s">
        <v>196</v>
      </c>
      <c r="C919">
        <v>8109667</v>
      </c>
    </row>
    <row r="920" spans="1:3" x14ac:dyDescent="0.25">
      <c r="A920" s="2" t="s">
        <v>25</v>
      </c>
      <c r="B920" t="s">
        <v>184</v>
      </c>
      <c r="C920" s="2" t="s">
        <v>197</v>
      </c>
    </row>
    <row r="921" spans="1:3" x14ac:dyDescent="0.25">
      <c r="A921" s="2" t="s">
        <v>25</v>
      </c>
      <c r="B921" t="s">
        <v>186</v>
      </c>
      <c r="C921">
        <v>3</v>
      </c>
    </row>
    <row r="922" spans="1:3" x14ac:dyDescent="0.25">
      <c r="A922" s="2" t="s">
        <v>25</v>
      </c>
      <c r="B922" t="s">
        <v>187</v>
      </c>
      <c r="C922">
        <v>1</v>
      </c>
    </row>
    <row r="923" spans="1:3" x14ac:dyDescent="0.25">
      <c r="A923" s="2" t="s">
        <v>25</v>
      </c>
      <c r="B923" t="s">
        <v>188</v>
      </c>
      <c r="C923">
        <v>1</v>
      </c>
    </row>
    <row r="924" spans="1:3" x14ac:dyDescent="0.25">
      <c r="A924" s="2" t="s">
        <v>25</v>
      </c>
      <c r="B924" t="s">
        <v>189</v>
      </c>
      <c r="C924">
        <v>1620226</v>
      </c>
    </row>
    <row r="925" spans="1:3" x14ac:dyDescent="0.25">
      <c r="A925" s="2" t="s">
        <v>25</v>
      </c>
      <c r="B925" t="s">
        <v>190</v>
      </c>
      <c r="C925">
        <v>7039480</v>
      </c>
    </row>
    <row r="926" spans="1:3" x14ac:dyDescent="0.25">
      <c r="A926" s="2" t="s">
        <v>25</v>
      </c>
      <c r="B926" t="s">
        <v>191</v>
      </c>
      <c r="C926">
        <v>5</v>
      </c>
    </row>
    <row r="927" spans="1:3" x14ac:dyDescent="0.25">
      <c r="A927" s="2" t="s">
        <v>25</v>
      </c>
      <c r="B927" t="s">
        <v>192</v>
      </c>
      <c r="C927">
        <v>50</v>
      </c>
    </row>
    <row r="928" spans="1:3" x14ac:dyDescent="0.25">
      <c r="A928" s="2" t="s">
        <v>25</v>
      </c>
      <c r="B928" t="s">
        <v>193</v>
      </c>
      <c r="C928">
        <v>8711167</v>
      </c>
    </row>
    <row r="929" spans="1:3" x14ac:dyDescent="0.25">
      <c r="A929" s="2" t="s">
        <v>25</v>
      </c>
      <c r="B929" t="s">
        <v>194</v>
      </c>
      <c r="C929">
        <v>2</v>
      </c>
    </row>
    <row r="930" spans="1:3" x14ac:dyDescent="0.25">
      <c r="A930" s="2" t="s">
        <v>25</v>
      </c>
      <c r="B930" t="s">
        <v>195</v>
      </c>
      <c r="C930">
        <v>76457640</v>
      </c>
    </row>
    <row r="931" spans="1:3" x14ac:dyDescent="0.25">
      <c r="A931" s="2" t="s">
        <v>25</v>
      </c>
      <c r="B931" t="s">
        <v>196</v>
      </c>
      <c r="C931">
        <v>8109667</v>
      </c>
    </row>
    <row r="932" spans="1:3" x14ac:dyDescent="0.25">
      <c r="A932" s="2" t="s">
        <v>88</v>
      </c>
      <c r="B932" t="s">
        <v>184</v>
      </c>
      <c r="C932" s="2" t="s">
        <v>198</v>
      </c>
    </row>
    <row r="933" spans="1:3" x14ac:dyDescent="0.25">
      <c r="A933" s="2" t="s">
        <v>88</v>
      </c>
      <c r="B933" t="s">
        <v>186</v>
      </c>
      <c r="C933">
        <v>3</v>
      </c>
    </row>
    <row r="934" spans="1:3" x14ac:dyDescent="0.25">
      <c r="A934" s="2" t="s">
        <v>88</v>
      </c>
      <c r="B934" t="s">
        <v>187</v>
      </c>
      <c r="C934">
        <v>5</v>
      </c>
    </row>
    <row r="935" spans="1:3" x14ac:dyDescent="0.25">
      <c r="A935" s="2" t="s">
        <v>88</v>
      </c>
      <c r="B935" t="s">
        <v>188</v>
      </c>
      <c r="C935">
        <v>1</v>
      </c>
    </row>
    <row r="936" spans="1:3" x14ac:dyDescent="0.25">
      <c r="A936" s="2" t="s">
        <v>88</v>
      </c>
      <c r="B936" t="s">
        <v>189</v>
      </c>
      <c r="C936">
        <v>-0.22509999999999999</v>
      </c>
    </row>
    <row r="937" spans="1:3" x14ac:dyDescent="0.25">
      <c r="A937" s="2" t="s">
        <v>88</v>
      </c>
      <c r="B937" t="s">
        <v>190</v>
      </c>
      <c r="C937">
        <v>7039480</v>
      </c>
    </row>
    <row r="938" spans="1:3" x14ac:dyDescent="0.25">
      <c r="A938" s="2" t="s">
        <v>88</v>
      </c>
      <c r="B938" t="s">
        <v>191</v>
      </c>
      <c r="C938">
        <v>5</v>
      </c>
    </row>
    <row r="939" spans="1:3" x14ac:dyDescent="0.25">
      <c r="A939" s="2" t="s">
        <v>88</v>
      </c>
      <c r="B939" t="s">
        <v>192</v>
      </c>
      <c r="C939">
        <v>50</v>
      </c>
    </row>
    <row r="940" spans="1:3" x14ac:dyDescent="0.25">
      <c r="A940" s="2" t="s">
        <v>88</v>
      </c>
      <c r="B940" t="s">
        <v>193</v>
      </c>
      <c r="C940">
        <v>8711167</v>
      </c>
    </row>
    <row r="941" spans="1:3" x14ac:dyDescent="0.25">
      <c r="A941" s="2" t="s">
        <v>88</v>
      </c>
      <c r="B941" t="s">
        <v>194</v>
      </c>
      <c r="C941">
        <v>2</v>
      </c>
    </row>
    <row r="942" spans="1:3" x14ac:dyDescent="0.25">
      <c r="A942" s="2" t="s">
        <v>88</v>
      </c>
      <c r="B942" t="s">
        <v>195</v>
      </c>
      <c r="C942">
        <v>9.5999999999999992E-3</v>
      </c>
    </row>
    <row r="943" spans="1:3" x14ac:dyDescent="0.25">
      <c r="A943" s="2" t="s">
        <v>88</v>
      </c>
      <c r="B943" t="s">
        <v>196</v>
      </c>
      <c r="C943">
        <v>8109667</v>
      </c>
    </row>
    <row r="944" spans="1:3" x14ac:dyDescent="0.25">
      <c r="A944" s="2" t="s">
        <v>89</v>
      </c>
      <c r="B944" t="s">
        <v>184</v>
      </c>
      <c r="C944" s="2" t="s">
        <v>199</v>
      </c>
    </row>
    <row r="945" spans="1:3" x14ac:dyDescent="0.25">
      <c r="A945" s="2" t="s">
        <v>89</v>
      </c>
      <c r="B945" t="s">
        <v>186</v>
      </c>
      <c r="C945">
        <v>3</v>
      </c>
    </row>
    <row r="946" spans="1:3" x14ac:dyDescent="0.25">
      <c r="A946" s="2" t="s">
        <v>89</v>
      </c>
      <c r="B946" t="s">
        <v>187</v>
      </c>
      <c r="C946">
        <v>4</v>
      </c>
    </row>
    <row r="947" spans="1:3" x14ac:dyDescent="0.25">
      <c r="A947" s="2" t="s">
        <v>89</v>
      </c>
      <c r="B947" t="s">
        <v>188</v>
      </c>
      <c r="C947">
        <v>1</v>
      </c>
    </row>
    <row r="948" spans="1:3" x14ac:dyDescent="0.25">
      <c r="A948" s="2" t="s">
        <v>89</v>
      </c>
      <c r="B948" t="s">
        <v>189</v>
      </c>
      <c r="C948">
        <v>0.27729999999999999</v>
      </c>
    </row>
    <row r="949" spans="1:3" x14ac:dyDescent="0.25">
      <c r="A949" s="2" t="s">
        <v>89</v>
      </c>
      <c r="B949" t="s">
        <v>190</v>
      </c>
      <c r="C949">
        <v>7039480</v>
      </c>
    </row>
    <row r="950" spans="1:3" x14ac:dyDescent="0.25">
      <c r="A950" s="2" t="s">
        <v>89</v>
      </c>
      <c r="B950" t="s">
        <v>191</v>
      </c>
      <c r="C950">
        <v>5</v>
      </c>
    </row>
    <row r="951" spans="1:3" x14ac:dyDescent="0.25">
      <c r="A951" s="2" t="s">
        <v>89</v>
      </c>
      <c r="B951" t="s">
        <v>192</v>
      </c>
      <c r="C951">
        <v>50</v>
      </c>
    </row>
    <row r="952" spans="1:3" x14ac:dyDescent="0.25">
      <c r="A952" s="2" t="s">
        <v>89</v>
      </c>
      <c r="B952" t="s">
        <v>193</v>
      </c>
      <c r="C952">
        <v>8711167</v>
      </c>
    </row>
    <row r="953" spans="1:3" x14ac:dyDescent="0.25">
      <c r="A953" s="2" t="s">
        <v>89</v>
      </c>
      <c r="B953" t="s">
        <v>194</v>
      </c>
      <c r="C953">
        <v>2</v>
      </c>
    </row>
    <row r="954" spans="1:3" x14ac:dyDescent="0.25">
      <c r="A954" s="2" t="s">
        <v>89</v>
      </c>
      <c r="B954" t="s">
        <v>195</v>
      </c>
      <c r="C954">
        <v>2.1221999999999999</v>
      </c>
    </row>
    <row r="955" spans="1:3" x14ac:dyDescent="0.25">
      <c r="A955" s="2" t="s">
        <v>89</v>
      </c>
      <c r="B955" t="s">
        <v>196</v>
      </c>
      <c r="C955">
        <v>8109667</v>
      </c>
    </row>
    <row r="956" spans="1:3" x14ac:dyDescent="0.25">
      <c r="A956" s="2" t="s">
        <v>94</v>
      </c>
      <c r="B956" t="s">
        <v>184</v>
      </c>
      <c r="C956" s="2" t="s">
        <v>200</v>
      </c>
    </row>
    <row r="957" spans="1:3" x14ac:dyDescent="0.25">
      <c r="A957" s="2" t="s">
        <v>94</v>
      </c>
      <c r="B957" t="s">
        <v>186</v>
      </c>
      <c r="C957">
        <v>3</v>
      </c>
    </row>
    <row r="958" spans="1:3" x14ac:dyDescent="0.25">
      <c r="A958" s="2" t="s">
        <v>94</v>
      </c>
      <c r="B958" t="s">
        <v>187</v>
      </c>
      <c r="C958">
        <v>3</v>
      </c>
    </row>
    <row r="959" spans="1:3" x14ac:dyDescent="0.25">
      <c r="A959" s="2" t="s">
        <v>94</v>
      </c>
      <c r="B959" t="s">
        <v>188</v>
      </c>
      <c r="C959">
        <v>1</v>
      </c>
    </row>
    <row r="960" spans="1:3" x14ac:dyDescent="0.25">
      <c r="A960" s="2" t="s">
        <v>94</v>
      </c>
      <c r="B960" t="s">
        <v>190</v>
      </c>
      <c r="C960">
        <v>7039480</v>
      </c>
    </row>
    <row r="961" spans="1:3" x14ac:dyDescent="0.25">
      <c r="A961" s="2" t="s">
        <v>94</v>
      </c>
      <c r="B961" t="s">
        <v>191</v>
      </c>
      <c r="C961">
        <v>5</v>
      </c>
    </row>
    <row r="962" spans="1:3" x14ac:dyDescent="0.25">
      <c r="A962" s="2" t="s">
        <v>94</v>
      </c>
      <c r="B962" t="s">
        <v>192</v>
      </c>
      <c r="C962">
        <v>50</v>
      </c>
    </row>
    <row r="963" spans="1:3" x14ac:dyDescent="0.25">
      <c r="A963" s="2" t="s">
        <v>94</v>
      </c>
      <c r="B963" t="s">
        <v>193</v>
      </c>
      <c r="C963">
        <v>8711167</v>
      </c>
    </row>
    <row r="964" spans="1:3" x14ac:dyDescent="0.25">
      <c r="A964" s="2" t="s">
        <v>94</v>
      </c>
      <c r="B964" t="s">
        <v>194</v>
      </c>
      <c r="C964">
        <v>2</v>
      </c>
    </row>
    <row r="965" spans="1:3" x14ac:dyDescent="0.25">
      <c r="A965" s="2" t="s">
        <v>94</v>
      </c>
      <c r="B965" t="s">
        <v>196</v>
      </c>
      <c r="C965">
        <v>8109667</v>
      </c>
    </row>
    <row r="966" spans="1:3" x14ac:dyDescent="0.25">
      <c r="A966" s="2" t="s">
        <v>95</v>
      </c>
      <c r="B966" t="s">
        <v>184</v>
      </c>
      <c r="C966" s="2" t="s">
        <v>201</v>
      </c>
    </row>
    <row r="967" spans="1:3" x14ac:dyDescent="0.25">
      <c r="A967" s="2" t="s">
        <v>95</v>
      </c>
      <c r="B967" t="s">
        <v>186</v>
      </c>
      <c r="C967">
        <v>3</v>
      </c>
    </row>
    <row r="968" spans="1:3" x14ac:dyDescent="0.25">
      <c r="A968" s="2" t="s">
        <v>95</v>
      </c>
      <c r="B968" t="s">
        <v>187</v>
      </c>
      <c r="C968">
        <v>2</v>
      </c>
    </row>
    <row r="969" spans="1:3" x14ac:dyDescent="0.25">
      <c r="A969" s="2" t="s">
        <v>95</v>
      </c>
      <c r="B969" t="s">
        <v>188</v>
      </c>
      <c r="C969">
        <v>1</v>
      </c>
    </row>
    <row r="970" spans="1:3" x14ac:dyDescent="0.25">
      <c r="A970" s="2" t="s">
        <v>95</v>
      </c>
      <c r="B970" t="s">
        <v>190</v>
      </c>
      <c r="C970">
        <v>7039480</v>
      </c>
    </row>
    <row r="971" spans="1:3" x14ac:dyDescent="0.25">
      <c r="A971" s="2" t="s">
        <v>95</v>
      </c>
      <c r="B971" t="s">
        <v>191</v>
      </c>
      <c r="C971">
        <v>5</v>
      </c>
    </row>
    <row r="972" spans="1:3" x14ac:dyDescent="0.25">
      <c r="A972" s="2" t="s">
        <v>95</v>
      </c>
      <c r="B972" t="s">
        <v>192</v>
      </c>
      <c r="C972">
        <v>50</v>
      </c>
    </row>
    <row r="973" spans="1:3" x14ac:dyDescent="0.25">
      <c r="A973" s="2" t="s">
        <v>95</v>
      </c>
      <c r="B973" t="s">
        <v>193</v>
      </c>
      <c r="C973">
        <v>8711167</v>
      </c>
    </row>
    <row r="974" spans="1:3" x14ac:dyDescent="0.25">
      <c r="A974" s="2" t="s">
        <v>95</v>
      </c>
      <c r="B974" t="s">
        <v>194</v>
      </c>
      <c r="C974">
        <v>2</v>
      </c>
    </row>
    <row r="975" spans="1:3" x14ac:dyDescent="0.25">
      <c r="A975" s="2" t="s">
        <v>95</v>
      </c>
      <c r="B975" t="s">
        <v>196</v>
      </c>
      <c r="C975">
        <v>8109667</v>
      </c>
    </row>
    <row r="976" spans="1:3" x14ac:dyDescent="0.25">
      <c r="A976" s="2" t="s">
        <v>32</v>
      </c>
      <c r="B976" t="s">
        <v>63</v>
      </c>
      <c r="C976" t="b">
        <v>0</v>
      </c>
    </row>
    <row r="977" spans="1:11" x14ac:dyDescent="0.25">
      <c r="A977" s="2" t="s">
        <v>32</v>
      </c>
      <c r="B977" t="s">
        <v>64</v>
      </c>
      <c r="C977" t="b">
        <v>1</v>
      </c>
    </row>
    <row r="978" spans="1:11" x14ac:dyDescent="0.25">
      <c r="A978" s="2" t="s">
        <v>32</v>
      </c>
      <c r="B978" t="s">
        <v>65</v>
      </c>
      <c r="C978" t="b">
        <v>1</v>
      </c>
    </row>
    <row r="979" spans="1:11" x14ac:dyDescent="0.25">
      <c r="A979" s="2" t="s">
        <v>32</v>
      </c>
      <c r="B979" t="s">
        <v>66</v>
      </c>
      <c r="C979">
        <v>0</v>
      </c>
    </row>
    <row r="980" spans="1:11" x14ac:dyDescent="0.25">
      <c r="A980" s="2" t="s">
        <v>32</v>
      </c>
      <c r="B980" t="s">
        <v>67</v>
      </c>
      <c r="C980">
        <v>1</v>
      </c>
    </row>
    <row r="981" spans="1:11" x14ac:dyDescent="0.25">
      <c r="A981" s="2" t="s">
        <v>32</v>
      </c>
      <c r="B981" t="s">
        <v>68</v>
      </c>
      <c r="C981">
        <v>1</v>
      </c>
    </row>
    <row r="982" spans="1:11" x14ac:dyDescent="0.25">
      <c r="A982" s="2" t="s">
        <v>32</v>
      </c>
      <c r="B982" t="s">
        <v>167</v>
      </c>
      <c r="C982">
        <v>1</v>
      </c>
    </row>
    <row r="983" spans="1:11" x14ac:dyDescent="0.25">
      <c r="A983" s="2" t="s">
        <v>32</v>
      </c>
      <c r="B983" t="s">
        <v>168</v>
      </c>
      <c r="C983">
        <v>1</v>
      </c>
    </row>
    <row r="984" spans="1:11" x14ac:dyDescent="0.25">
      <c r="A984" s="2" t="s">
        <v>32</v>
      </c>
      <c r="B984" t="s">
        <v>169</v>
      </c>
      <c r="C984">
        <v>1</v>
      </c>
    </row>
    <row r="985" spans="1:11" x14ac:dyDescent="0.25">
      <c r="A985" t="s">
        <v>422</v>
      </c>
    </row>
    <row r="986" spans="1:11" x14ac:dyDescent="0.25">
      <c r="A986" t="s">
        <v>472</v>
      </c>
    </row>
    <row r="987" spans="1:11" x14ac:dyDescent="0.25">
      <c r="D987" t="s">
        <v>10</v>
      </c>
      <c r="E987" t="s">
        <v>230</v>
      </c>
      <c r="G987" t="s">
        <v>231</v>
      </c>
      <c r="J987" t="s">
        <v>232</v>
      </c>
      <c r="K987" t="s">
        <v>233</v>
      </c>
    </row>
    <row r="988" spans="1:11" x14ac:dyDescent="0.25">
      <c r="D988" t="s">
        <v>11</v>
      </c>
      <c r="E988" t="s">
        <v>234</v>
      </c>
      <c r="G988" t="s">
        <v>231</v>
      </c>
      <c r="J988" t="s">
        <v>232</v>
      </c>
      <c r="K988" t="s">
        <v>245</v>
      </c>
    </row>
    <row r="989" spans="1:11" x14ac:dyDescent="0.25">
      <c r="D989" t="s">
        <v>12</v>
      </c>
      <c r="E989" t="s">
        <v>236</v>
      </c>
      <c r="G989" t="s">
        <v>231</v>
      </c>
      <c r="J989" t="s">
        <v>232</v>
      </c>
      <c r="K989" t="s">
        <v>245</v>
      </c>
    </row>
    <row r="990" spans="1:11" x14ac:dyDescent="0.25">
      <c r="D990" t="s">
        <v>13</v>
      </c>
      <c r="E990" t="s">
        <v>237</v>
      </c>
      <c r="G990" t="s">
        <v>231</v>
      </c>
      <c r="J990" t="s">
        <v>232</v>
      </c>
      <c r="K990" t="s">
        <v>304</v>
      </c>
    </row>
    <row r="991" spans="1:11" x14ac:dyDescent="0.25">
      <c r="D991" t="s">
        <v>14</v>
      </c>
      <c r="E991" t="s">
        <v>239</v>
      </c>
      <c r="G991" t="s">
        <v>231</v>
      </c>
      <c r="J991" t="s">
        <v>232</v>
      </c>
      <c r="K991" t="s">
        <v>473</v>
      </c>
    </row>
    <row r="992" spans="1:11" x14ac:dyDescent="0.25">
      <c r="D992" t="s">
        <v>15</v>
      </c>
      <c r="E992" t="s">
        <v>241</v>
      </c>
      <c r="G992" t="s">
        <v>231</v>
      </c>
      <c r="J992" t="s">
        <v>232</v>
      </c>
      <c r="K992" t="s">
        <v>288</v>
      </c>
    </row>
    <row r="993" spans="1:11" x14ac:dyDescent="0.25">
      <c r="D993" t="s">
        <v>16</v>
      </c>
      <c r="E993" t="s">
        <v>242</v>
      </c>
      <c r="G993" t="s">
        <v>231</v>
      </c>
      <c r="J993" t="s">
        <v>232</v>
      </c>
      <c r="K993" t="s">
        <v>240</v>
      </c>
    </row>
    <row r="994" spans="1:11" x14ac:dyDescent="0.25">
      <c r="D994" t="s">
        <v>17</v>
      </c>
      <c r="E994" t="s">
        <v>243</v>
      </c>
      <c r="G994" t="s">
        <v>231</v>
      </c>
      <c r="J994" t="s">
        <v>232</v>
      </c>
      <c r="K994" t="s">
        <v>473</v>
      </c>
    </row>
    <row r="995" spans="1:11" x14ac:dyDescent="0.25">
      <c r="D995" t="s">
        <v>18</v>
      </c>
      <c r="E995" t="s">
        <v>244</v>
      </c>
      <c r="G995" t="s">
        <v>231</v>
      </c>
      <c r="J995" t="s">
        <v>232</v>
      </c>
      <c r="K995" t="s">
        <v>245</v>
      </c>
    </row>
    <row r="996" spans="1:11" x14ac:dyDescent="0.25">
      <c r="D996" t="s">
        <v>19</v>
      </c>
      <c r="E996" t="s">
        <v>246</v>
      </c>
      <c r="G996" t="s">
        <v>231</v>
      </c>
      <c r="J996" t="s">
        <v>232</v>
      </c>
      <c r="K996" t="s">
        <v>245</v>
      </c>
    </row>
    <row r="997" spans="1:11" x14ac:dyDescent="0.25">
      <c r="D997" t="s">
        <v>20</v>
      </c>
      <c r="E997" t="s">
        <v>247</v>
      </c>
      <c r="G997" t="s">
        <v>231</v>
      </c>
      <c r="J997" t="s">
        <v>232</v>
      </c>
      <c r="K997" t="s">
        <v>473</v>
      </c>
    </row>
    <row r="998" spans="1:11" x14ac:dyDescent="0.25">
      <c r="D998" t="s">
        <v>21</v>
      </c>
      <c r="E998" t="s">
        <v>249</v>
      </c>
      <c r="G998" t="s">
        <v>231</v>
      </c>
      <c r="J998" t="s">
        <v>232</v>
      </c>
      <c r="K998" t="s">
        <v>303</v>
      </c>
    </row>
    <row r="999" spans="1:11" x14ac:dyDescent="0.25">
      <c r="D999" t="s">
        <v>22</v>
      </c>
      <c r="E999" t="s">
        <v>305</v>
      </c>
      <c r="G999" t="s">
        <v>231</v>
      </c>
      <c r="J999" t="s">
        <v>232</v>
      </c>
      <c r="K999" t="s">
        <v>245</v>
      </c>
    </row>
    <row r="1000" spans="1:11" x14ac:dyDescent="0.25">
      <c r="D1000" t="s">
        <v>23</v>
      </c>
      <c r="E1000" t="s">
        <v>307</v>
      </c>
      <c r="G1000" t="s">
        <v>231</v>
      </c>
      <c r="J1000" t="s">
        <v>232</v>
      </c>
      <c r="K1000" t="s">
        <v>474</v>
      </c>
    </row>
    <row r="1001" spans="1:11" x14ac:dyDescent="0.25">
      <c r="D1001" t="s">
        <v>24</v>
      </c>
      <c r="E1001" t="s">
        <v>309</v>
      </c>
      <c r="G1001" t="s">
        <v>231</v>
      </c>
      <c r="J1001" t="s">
        <v>232</v>
      </c>
      <c r="K1001" t="s">
        <v>474</v>
      </c>
    </row>
    <row r="1002" spans="1:11" x14ac:dyDescent="0.25">
      <c r="D1002" t="s">
        <v>25</v>
      </c>
      <c r="E1002" t="s">
        <v>310</v>
      </c>
      <c r="G1002" t="s">
        <v>231</v>
      </c>
      <c r="J1002" t="s">
        <v>232</v>
      </c>
      <c r="K1002" t="s">
        <v>473</v>
      </c>
    </row>
    <row r="1003" spans="1:11" x14ac:dyDescent="0.25">
      <c r="D1003" t="s">
        <v>26</v>
      </c>
      <c r="E1003" t="s">
        <v>311</v>
      </c>
      <c r="G1003" t="s">
        <v>231</v>
      </c>
      <c r="J1003" t="s">
        <v>232</v>
      </c>
      <c r="K1003" t="s">
        <v>240</v>
      </c>
    </row>
    <row r="1004" spans="1:11" x14ac:dyDescent="0.25">
      <c r="D1004" t="s">
        <v>27</v>
      </c>
      <c r="E1004" t="s">
        <v>312</v>
      </c>
      <c r="G1004" t="s">
        <v>231</v>
      </c>
      <c r="J1004" t="s">
        <v>232</v>
      </c>
      <c r="K1004" t="s">
        <v>475</v>
      </c>
    </row>
    <row r="1005" spans="1:11" x14ac:dyDescent="0.25">
      <c r="D1005" t="s">
        <v>28</v>
      </c>
      <c r="E1005" t="s">
        <v>314</v>
      </c>
      <c r="G1005" t="s">
        <v>231</v>
      </c>
      <c r="J1005" t="s">
        <v>232</v>
      </c>
      <c r="K1005" t="s">
        <v>308</v>
      </c>
    </row>
    <row r="1006" spans="1:11" x14ac:dyDescent="0.25">
      <c r="A1006" t="s">
        <v>476</v>
      </c>
    </row>
    <row r="1007" spans="1:11" x14ac:dyDescent="0.25">
      <c r="A1007" t="s">
        <v>477</v>
      </c>
    </row>
    <row r="1008" spans="1:11" x14ac:dyDescent="0.25">
      <c r="A1008" s="2" t="s">
        <v>32</v>
      </c>
      <c r="B1008" t="s">
        <v>33</v>
      </c>
      <c r="C1008" s="2" t="s">
        <v>176</v>
      </c>
    </row>
    <row r="1009" spans="1:3" x14ac:dyDescent="0.25">
      <c r="A1009" s="2" t="s">
        <v>32</v>
      </c>
      <c r="B1009" t="s">
        <v>34</v>
      </c>
      <c r="C1009" t="b">
        <v>0</v>
      </c>
    </row>
    <row r="1010" spans="1:3" x14ac:dyDescent="0.25">
      <c r="A1010" s="2" t="s">
        <v>32</v>
      </c>
      <c r="B1010" t="s">
        <v>35</v>
      </c>
      <c r="C1010" s="2" t="s">
        <v>75</v>
      </c>
    </row>
    <row r="1011" spans="1:3" x14ac:dyDescent="0.25">
      <c r="A1011" s="2" t="s">
        <v>32</v>
      </c>
      <c r="B1011" t="s">
        <v>36</v>
      </c>
      <c r="C1011" t="b">
        <v>0</v>
      </c>
    </row>
    <row r="1012" spans="1:3" x14ac:dyDescent="0.25">
      <c r="A1012" s="2" t="s">
        <v>32</v>
      </c>
      <c r="B1012" t="s">
        <v>37</v>
      </c>
      <c r="C1012" t="b">
        <v>0</v>
      </c>
    </row>
    <row r="1013" spans="1:3" x14ac:dyDescent="0.25">
      <c r="A1013" s="2" t="s">
        <v>32</v>
      </c>
      <c r="B1013" t="s">
        <v>38</v>
      </c>
      <c r="C1013" t="b">
        <v>0</v>
      </c>
    </row>
    <row r="1014" spans="1:3" x14ac:dyDescent="0.25">
      <c r="A1014" s="2" t="s">
        <v>32</v>
      </c>
      <c r="B1014" t="s">
        <v>39</v>
      </c>
      <c r="C1014" t="b">
        <v>0</v>
      </c>
    </row>
    <row r="1015" spans="1:3" x14ac:dyDescent="0.25">
      <c r="A1015" s="2" t="s">
        <v>9</v>
      </c>
      <c r="B1015" t="s">
        <v>40</v>
      </c>
      <c r="C1015" t="b">
        <v>1</v>
      </c>
    </row>
    <row r="1016" spans="1:3" x14ac:dyDescent="0.25">
      <c r="A1016" s="2" t="s">
        <v>9</v>
      </c>
      <c r="B1016" t="s">
        <v>41</v>
      </c>
      <c r="C1016" s="2" t="s">
        <v>42</v>
      </c>
    </row>
    <row r="1017" spans="1:3" x14ac:dyDescent="0.25">
      <c r="A1017" s="2" t="s">
        <v>10</v>
      </c>
      <c r="B1017" t="s">
        <v>40</v>
      </c>
      <c r="C1017" t="b">
        <v>0</v>
      </c>
    </row>
    <row r="1018" spans="1:3" x14ac:dyDescent="0.25">
      <c r="A1018" s="2" t="s">
        <v>10</v>
      </c>
      <c r="B1018" t="s">
        <v>41</v>
      </c>
      <c r="C1018" s="2" t="s">
        <v>43</v>
      </c>
    </row>
    <row r="1019" spans="1:3" x14ac:dyDescent="0.25">
      <c r="A1019" s="2" t="s">
        <v>10</v>
      </c>
      <c r="B1019" t="s">
        <v>44</v>
      </c>
      <c r="C1019">
        <v>20.29</v>
      </c>
    </row>
    <row r="1020" spans="1:3" x14ac:dyDescent="0.25">
      <c r="A1020" s="2" t="s">
        <v>11</v>
      </c>
      <c r="B1020" t="s">
        <v>40</v>
      </c>
      <c r="C1020" t="b">
        <v>0</v>
      </c>
    </row>
    <row r="1021" spans="1:3" x14ac:dyDescent="0.25">
      <c r="A1021" s="2" t="s">
        <v>11</v>
      </c>
      <c r="B1021" t="s">
        <v>41</v>
      </c>
      <c r="C1021" s="2" t="s">
        <v>45</v>
      </c>
    </row>
    <row r="1022" spans="1:3" x14ac:dyDescent="0.25">
      <c r="A1022" s="2" t="s">
        <v>11</v>
      </c>
      <c r="B1022" t="s">
        <v>76</v>
      </c>
      <c r="C1022" s="2" t="s">
        <v>480</v>
      </c>
    </row>
    <row r="1023" spans="1:3" x14ac:dyDescent="0.25">
      <c r="A1023" s="2" t="s">
        <v>11</v>
      </c>
      <c r="B1023" t="s">
        <v>44</v>
      </c>
      <c r="C1023">
        <v>9</v>
      </c>
    </row>
    <row r="1024" spans="1:3" x14ac:dyDescent="0.25">
      <c r="A1024" s="2" t="s">
        <v>11</v>
      </c>
      <c r="B1024" t="s">
        <v>77</v>
      </c>
      <c r="C1024" s="2" t="s">
        <v>78</v>
      </c>
    </row>
    <row r="1025" spans="1:3" x14ac:dyDescent="0.25">
      <c r="A1025" s="2" t="s">
        <v>12</v>
      </c>
      <c r="B1025" t="s">
        <v>40</v>
      </c>
      <c r="C1025" t="b">
        <v>0</v>
      </c>
    </row>
    <row r="1026" spans="1:3" x14ac:dyDescent="0.25">
      <c r="A1026" s="2" t="s">
        <v>12</v>
      </c>
      <c r="B1026" t="s">
        <v>41</v>
      </c>
      <c r="C1026" s="2" t="s">
        <v>46</v>
      </c>
    </row>
    <row r="1027" spans="1:3" x14ac:dyDescent="0.25">
      <c r="A1027" s="2" t="s">
        <v>12</v>
      </c>
      <c r="B1027" t="s">
        <v>76</v>
      </c>
      <c r="C1027" s="2" t="s">
        <v>481</v>
      </c>
    </row>
    <row r="1028" spans="1:3" x14ac:dyDescent="0.25">
      <c r="A1028" s="2" t="s">
        <v>12</v>
      </c>
      <c r="B1028" t="s">
        <v>44</v>
      </c>
      <c r="C1028">
        <v>9.7100000000000009</v>
      </c>
    </row>
    <row r="1029" spans="1:3" x14ac:dyDescent="0.25">
      <c r="A1029" s="2" t="s">
        <v>12</v>
      </c>
      <c r="B1029" t="s">
        <v>77</v>
      </c>
      <c r="C1029" s="2" t="s">
        <v>79</v>
      </c>
    </row>
    <row r="1030" spans="1:3" x14ac:dyDescent="0.25">
      <c r="A1030" s="2" t="s">
        <v>13</v>
      </c>
      <c r="B1030" t="s">
        <v>40</v>
      </c>
      <c r="C1030" t="b">
        <v>0</v>
      </c>
    </row>
    <row r="1031" spans="1:3" x14ac:dyDescent="0.25">
      <c r="A1031" s="2" t="s">
        <v>13</v>
      </c>
      <c r="B1031" t="s">
        <v>41</v>
      </c>
      <c r="C1031" s="2" t="s">
        <v>47</v>
      </c>
    </row>
    <row r="1032" spans="1:3" x14ac:dyDescent="0.25">
      <c r="A1032" s="2" t="s">
        <v>13</v>
      </c>
      <c r="B1032" t="s">
        <v>76</v>
      </c>
      <c r="C1032" s="2" t="s">
        <v>482</v>
      </c>
    </row>
    <row r="1033" spans="1:3" x14ac:dyDescent="0.25">
      <c r="A1033" s="2" t="s">
        <v>13</v>
      </c>
      <c r="B1033" t="s">
        <v>44</v>
      </c>
      <c r="C1033">
        <v>20.29</v>
      </c>
    </row>
    <row r="1034" spans="1:3" x14ac:dyDescent="0.25">
      <c r="A1034" s="2" t="s">
        <v>14</v>
      </c>
      <c r="B1034" t="s">
        <v>40</v>
      </c>
      <c r="C1034" t="b">
        <v>0</v>
      </c>
    </row>
    <row r="1035" spans="1:3" x14ac:dyDescent="0.25">
      <c r="A1035" s="2" t="s">
        <v>14</v>
      </c>
      <c r="B1035" t="s">
        <v>41</v>
      </c>
      <c r="C1035" s="2" t="s">
        <v>48</v>
      </c>
    </row>
    <row r="1036" spans="1:3" x14ac:dyDescent="0.25">
      <c r="A1036" s="2" t="s">
        <v>14</v>
      </c>
      <c r="B1036" t="s">
        <v>76</v>
      </c>
      <c r="C1036" s="2" t="s">
        <v>483</v>
      </c>
    </row>
    <row r="1037" spans="1:3" x14ac:dyDescent="0.25">
      <c r="A1037" s="2" t="s">
        <v>14</v>
      </c>
      <c r="B1037" t="s">
        <v>44</v>
      </c>
      <c r="C1037">
        <v>6.86</v>
      </c>
    </row>
    <row r="1038" spans="1:3" x14ac:dyDescent="0.25">
      <c r="A1038" s="2" t="s">
        <v>15</v>
      </c>
      <c r="B1038" t="s">
        <v>40</v>
      </c>
      <c r="C1038" t="b">
        <v>0</v>
      </c>
    </row>
    <row r="1039" spans="1:3" x14ac:dyDescent="0.25">
      <c r="A1039" s="2" t="s">
        <v>15</v>
      </c>
      <c r="B1039" t="s">
        <v>41</v>
      </c>
      <c r="C1039" s="2" t="s">
        <v>49</v>
      </c>
    </row>
    <row r="1040" spans="1:3" x14ac:dyDescent="0.25">
      <c r="A1040" s="2" t="s">
        <v>15</v>
      </c>
      <c r="B1040" t="s">
        <v>76</v>
      </c>
      <c r="C1040" s="2" t="s">
        <v>484</v>
      </c>
    </row>
    <row r="1041" spans="1:3" x14ac:dyDescent="0.25">
      <c r="A1041" s="2" t="s">
        <v>15</v>
      </c>
      <c r="B1041" t="s">
        <v>44</v>
      </c>
      <c r="C1041">
        <v>13.14</v>
      </c>
    </row>
    <row r="1042" spans="1:3" x14ac:dyDescent="0.25">
      <c r="A1042" s="2" t="s">
        <v>16</v>
      </c>
      <c r="B1042" t="s">
        <v>40</v>
      </c>
      <c r="C1042" t="b">
        <v>0</v>
      </c>
    </row>
    <row r="1043" spans="1:3" x14ac:dyDescent="0.25">
      <c r="A1043" s="2" t="s">
        <v>16</v>
      </c>
      <c r="B1043" t="s">
        <v>41</v>
      </c>
      <c r="C1043" s="2" t="s">
        <v>50</v>
      </c>
    </row>
    <row r="1044" spans="1:3" x14ac:dyDescent="0.25">
      <c r="A1044" s="2" t="s">
        <v>16</v>
      </c>
      <c r="B1044" t="s">
        <v>76</v>
      </c>
      <c r="C1044" s="2" t="s">
        <v>485</v>
      </c>
    </row>
    <row r="1045" spans="1:3" x14ac:dyDescent="0.25">
      <c r="A1045" s="2" t="s">
        <v>16</v>
      </c>
      <c r="B1045" t="s">
        <v>44</v>
      </c>
      <c r="C1045">
        <v>9</v>
      </c>
    </row>
    <row r="1046" spans="1:3" x14ac:dyDescent="0.25">
      <c r="A1046" s="2" t="s">
        <v>16</v>
      </c>
      <c r="B1046" t="s">
        <v>77</v>
      </c>
      <c r="C1046" s="2" t="s">
        <v>78</v>
      </c>
    </row>
    <row r="1047" spans="1:3" x14ac:dyDescent="0.25">
      <c r="A1047" s="2" t="s">
        <v>17</v>
      </c>
      <c r="B1047" t="s">
        <v>40</v>
      </c>
      <c r="C1047" t="b">
        <v>0</v>
      </c>
    </row>
    <row r="1048" spans="1:3" x14ac:dyDescent="0.25">
      <c r="A1048" s="2" t="s">
        <v>17</v>
      </c>
      <c r="B1048" t="s">
        <v>41</v>
      </c>
      <c r="C1048" s="2" t="s">
        <v>51</v>
      </c>
    </row>
    <row r="1049" spans="1:3" x14ac:dyDescent="0.25">
      <c r="A1049" s="2" t="s">
        <v>17</v>
      </c>
      <c r="B1049" t="s">
        <v>76</v>
      </c>
      <c r="C1049" s="2" t="s">
        <v>486</v>
      </c>
    </row>
    <row r="1050" spans="1:3" x14ac:dyDescent="0.25">
      <c r="A1050" s="2" t="s">
        <v>17</v>
      </c>
      <c r="B1050" t="s">
        <v>44</v>
      </c>
      <c r="C1050">
        <v>5.43</v>
      </c>
    </row>
    <row r="1051" spans="1:3" x14ac:dyDescent="0.25">
      <c r="A1051" s="2" t="s">
        <v>18</v>
      </c>
      <c r="B1051" t="s">
        <v>40</v>
      </c>
      <c r="C1051" t="b">
        <v>0</v>
      </c>
    </row>
    <row r="1052" spans="1:3" x14ac:dyDescent="0.25">
      <c r="A1052" s="2" t="s">
        <v>18</v>
      </c>
      <c r="B1052" t="s">
        <v>41</v>
      </c>
      <c r="C1052" s="2" t="s">
        <v>52</v>
      </c>
    </row>
    <row r="1053" spans="1:3" x14ac:dyDescent="0.25">
      <c r="A1053" s="2" t="s">
        <v>18</v>
      </c>
      <c r="B1053" t="s">
        <v>76</v>
      </c>
      <c r="C1053" s="2" t="s">
        <v>487</v>
      </c>
    </row>
    <row r="1054" spans="1:3" x14ac:dyDescent="0.25">
      <c r="A1054" s="2" t="s">
        <v>18</v>
      </c>
      <c r="B1054" t="s">
        <v>44</v>
      </c>
      <c r="C1054">
        <v>4.57</v>
      </c>
    </row>
    <row r="1055" spans="1:3" x14ac:dyDescent="0.25">
      <c r="A1055" s="2" t="s">
        <v>19</v>
      </c>
      <c r="B1055" t="s">
        <v>40</v>
      </c>
      <c r="C1055" t="b">
        <v>0</v>
      </c>
    </row>
    <row r="1056" spans="1:3" x14ac:dyDescent="0.25">
      <c r="A1056" s="2" t="s">
        <v>19</v>
      </c>
      <c r="B1056" t="s">
        <v>41</v>
      </c>
      <c r="C1056" s="2" t="s">
        <v>53</v>
      </c>
    </row>
    <row r="1057" spans="1:3" x14ac:dyDescent="0.25">
      <c r="A1057" s="2" t="s">
        <v>19</v>
      </c>
      <c r="B1057" t="s">
        <v>76</v>
      </c>
      <c r="C1057" s="2" t="s">
        <v>488</v>
      </c>
    </row>
    <row r="1058" spans="1:3" x14ac:dyDescent="0.25">
      <c r="A1058" s="2" t="s">
        <v>19</v>
      </c>
      <c r="B1058" t="s">
        <v>44</v>
      </c>
      <c r="C1058">
        <v>5.86</v>
      </c>
    </row>
    <row r="1059" spans="1:3" x14ac:dyDescent="0.25">
      <c r="A1059" s="2" t="s">
        <v>19</v>
      </c>
      <c r="B1059" t="s">
        <v>77</v>
      </c>
      <c r="C1059" s="2" t="s">
        <v>180</v>
      </c>
    </row>
    <row r="1060" spans="1:3" x14ac:dyDescent="0.25">
      <c r="A1060" s="2" t="s">
        <v>20</v>
      </c>
      <c r="B1060" t="s">
        <v>40</v>
      </c>
      <c r="C1060" t="b">
        <v>0</v>
      </c>
    </row>
    <row r="1061" spans="1:3" x14ac:dyDescent="0.25">
      <c r="A1061" s="2" t="s">
        <v>20</v>
      </c>
      <c r="B1061" t="s">
        <v>41</v>
      </c>
      <c r="C1061" s="2" t="s">
        <v>54</v>
      </c>
    </row>
    <row r="1062" spans="1:3" x14ac:dyDescent="0.25">
      <c r="A1062" s="2" t="s">
        <v>20</v>
      </c>
      <c r="B1062" t="s">
        <v>76</v>
      </c>
      <c r="C1062" s="2" t="s">
        <v>489</v>
      </c>
    </row>
    <row r="1063" spans="1:3" x14ac:dyDescent="0.25">
      <c r="A1063" s="2" t="s">
        <v>20</v>
      </c>
      <c r="B1063" t="s">
        <v>44</v>
      </c>
      <c r="C1063">
        <v>6.86</v>
      </c>
    </row>
    <row r="1064" spans="1:3" x14ac:dyDescent="0.25">
      <c r="A1064" s="2" t="s">
        <v>20</v>
      </c>
      <c r="B1064" t="s">
        <v>77</v>
      </c>
      <c r="C1064" s="2" t="s">
        <v>181</v>
      </c>
    </row>
    <row r="1065" spans="1:3" x14ac:dyDescent="0.25">
      <c r="A1065" s="2" t="s">
        <v>21</v>
      </c>
      <c r="B1065" t="s">
        <v>40</v>
      </c>
      <c r="C1065" t="b">
        <v>0</v>
      </c>
    </row>
    <row r="1066" spans="1:3" x14ac:dyDescent="0.25">
      <c r="A1066" s="2" t="s">
        <v>21</v>
      </c>
      <c r="B1066" t="s">
        <v>41</v>
      </c>
      <c r="C1066" s="2" t="s">
        <v>55</v>
      </c>
    </row>
    <row r="1067" spans="1:3" x14ac:dyDescent="0.25">
      <c r="A1067" s="2" t="s">
        <v>21</v>
      </c>
      <c r="B1067" t="s">
        <v>76</v>
      </c>
      <c r="C1067" s="2" t="s">
        <v>490</v>
      </c>
    </row>
    <row r="1068" spans="1:3" x14ac:dyDescent="0.25">
      <c r="A1068" s="2" t="s">
        <v>21</v>
      </c>
      <c r="B1068" t="s">
        <v>44</v>
      </c>
      <c r="C1068">
        <v>13.86</v>
      </c>
    </row>
    <row r="1069" spans="1:3" x14ac:dyDescent="0.25">
      <c r="A1069" s="2" t="s">
        <v>21</v>
      </c>
      <c r="B1069" t="s">
        <v>77</v>
      </c>
      <c r="C1069" s="2" t="s">
        <v>151</v>
      </c>
    </row>
    <row r="1070" spans="1:3" x14ac:dyDescent="0.25">
      <c r="A1070" s="2" t="s">
        <v>22</v>
      </c>
      <c r="B1070" t="s">
        <v>40</v>
      </c>
      <c r="C1070" t="b">
        <v>0</v>
      </c>
    </row>
    <row r="1071" spans="1:3" x14ac:dyDescent="0.25">
      <c r="A1071" s="2" t="s">
        <v>22</v>
      </c>
      <c r="B1071" t="s">
        <v>41</v>
      </c>
      <c r="C1071" s="2" t="s">
        <v>56</v>
      </c>
    </row>
    <row r="1072" spans="1:3" x14ac:dyDescent="0.25">
      <c r="A1072" s="2" t="s">
        <v>22</v>
      </c>
      <c r="B1072" t="s">
        <v>76</v>
      </c>
      <c r="C1072" s="2" t="s">
        <v>491</v>
      </c>
    </row>
    <row r="1073" spans="1:3" x14ac:dyDescent="0.25">
      <c r="A1073" s="2" t="s">
        <v>22</v>
      </c>
      <c r="B1073" t="s">
        <v>44</v>
      </c>
      <c r="C1073">
        <v>5.86</v>
      </c>
    </row>
    <row r="1074" spans="1:3" x14ac:dyDescent="0.25">
      <c r="A1074" s="2" t="s">
        <v>22</v>
      </c>
      <c r="B1074" t="s">
        <v>77</v>
      </c>
      <c r="C1074" s="2" t="s">
        <v>180</v>
      </c>
    </row>
    <row r="1075" spans="1:3" x14ac:dyDescent="0.25">
      <c r="A1075" s="2" t="s">
        <v>23</v>
      </c>
      <c r="B1075" t="s">
        <v>40</v>
      </c>
      <c r="C1075" t="b">
        <v>0</v>
      </c>
    </row>
    <row r="1076" spans="1:3" x14ac:dyDescent="0.25">
      <c r="A1076" s="2" t="s">
        <v>23</v>
      </c>
      <c r="B1076" t="s">
        <v>41</v>
      </c>
      <c r="C1076" s="2" t="s">
        <v>57</v>
      </c>
    </row>
    <row r="1077" spans="1:3" x14ac:dyDescent="0.25">
      <c r="A1077" s="2" t="s">
        <v>23</v>
      </c>
      <c r="B1077" t="s">
        <v>76</v>
      </c>
      <c r="C1077" s="2" t="s">
        <v>492</v>
      </c>
    </row>
    <row r="1078" spans="1:3" x14ac:dyDescent="0.25">
      <c r="A1078" s="2" t="s">
        <v>23</v>
      </c>
      <c r="B1078" t="s">
        <v>44</v>
      </c>
      <c r="C1078">
        <v>5.86</v>
      </c>
    </row>
    <row r="1079" spans="1:3" x14ac:dyDescent="0.25">
      <c r="A1079" s="2" t="s">
        <v>23</v>
      </c>
      <c r="B1079" t="s">
        <v>77</v>
      </c>
      <c r="C1079" s="2" t="s">
        <v>180</v>
      </c>
    </row>
    <row r="1080" spans="1:3" x14ac:dyDescent="0.25">
      <c r="A1080" s="2" t="s">
        <v>24</v>
      </c>
      <c r="B1080" t="s">
        <v>40</v>
      </c>
      <c r="C1080" t="b">
        <v>0</v>
      </c>
    </row>
    <row r="1081" spans="1:3" x14ac:dyDescent="0.25">
      <c r="A1081" s="2" t="s">
        <v>24</v>
      </c>
      <c r="B1081" t="s">
        <v>41</v>
      </c>
      <c r="C1081" s="2" t="s">
        <v>58</v>
      </c>
    </row>
    <row r="1082" spans="1:3" x14ac:dyDescent="0.25">
      <c r="A1082" s="2" t="s">
        <v>24</v>
      </c>
      <c r="B1082" t="s">
        <v>76</v>
      </c>
      <c r="C1082" s="2" t="s">
        <v>493</v>
      </c>
    </row>
    <row r="1083" spans="1:3" x14ac:dyDescent="0.25">
      <c r="A1083" s="2" t="s">
        <v>24</v>
      </c>
      <c r="B1083" t="s">
        <v>44</v>
      </c>
      <c r="C1083">
        <v>5.86</v>
      </c>
    </row>
    <row r="1084" spans="1:3" x14ac:dyDescent="0.25">
      <c r="A1084" s="2" t="s">
        <v>24</v>
      </c>
      <c r="B1084" t="s">
        <v>77</v>
      </c>
      <c r="C1084" s="2" t="s">
        <v>180</v>
      </c>
    </row>
    <row r="1085" spans="1:3" x14ac:dyDescent="0.25">
      <c r="A1085" s="2" t="s">
        <v>25</v>
      </c>
      <c r="B1085" t="s">
        <v>40</v>
      </c>
      <c r="C1085" t="b">
        <v>0</v>
      </c>
    </row>
    <row r="1086" spans="1:3" x14ac:dyDescent="0.25">
      <c r="A1086" s="2" t="s">
        <v>25</v>
      </c>
      <c r="B1086" t="s">
        <v>41</v>
      </c>
      <c r="C1086" s="2" t="s">
        <v>59</v>
      </c>
    </row>
    <row r="1087" spans="1:3" x14ac:dyDescent="0.25">
      <c r="A1087" s="2" t="s">
        <v>25</v>
      </c>
      <c r="B1087" t="s">
        <v>76</v>
      </c>
      <c r="C1087" s="2" t="s">
        <v>494</v>
      </c>
    </row>
    <row r="1088" spans="1:3" x14ac:dyDescent="0.25">
      <c r="A1088" s="2" t="s">
        <v>25</v>
      </c>
      <c r="B1088" t="s">
        <v>44</v>
      </c>
      <c r="C1088">
        <v>7.29</v>
      </c>
    </row>
    <row r="1089" spans="1:3" x14ac:dyDescent="0.25">
      <c r="A1089" s="2" t="s">
        <v>25</v>
      </c>
      <c r="B1089" t="s">
        <v>77</v>
      </c>
      <c r="C1089" s="2" t="s">
        <v>182</v>
      </c>
    </row>
    <row r="1090" spans="1:3" x14ac:dyDescent="0.25">
      <c r="A1090" s="2" t="s">
        <v>26</v>
      </c>
      <c r="B1090" t="s">
        <v>40</v>
      </c>
      <c r="C1090" t="b">
        <v>0</v>
      </c>
    </row>
    <row r="1091" spans="1:3" x14ac:dyDescent="0.25">
      <c r="A1091" s="2" t="s">
        <v>26</v>
      </c>
      <c r="B1091" t="s">
        <v>41</v>
      </c>
      <c r="C1091" s="2" t="s">
        <v>60</v>
      </c>
    </row>
    <row r="1092" spans="1:3" x14ac:dyDescent="0.25">
      <c r="A1092" s="2" t="s">
        <v>26</v>
      </c>
      <c r="B1092" t="s">
        <v>76</v>
      </c>
      <c r="C1092" s="2" t="s">
        <v>495</v>
      </c>
    </row>
    <row r="1093" spans="1:3" x14ac:dyDescent="0.25">
      <c r="A1093" s="2" t="s">
        <v>26</v>
      </c>
      <c r="B1093" t="s">
        <v>44</v>
      </c>
      <c r="C1093">
        <v>7.57</v>
      </c>
    </row>
    <row r="1094" spans="1:3" x14ac:dyDescent="0.25">
      <c r="A1094" s="2" t="s">
        <v>26</v>
      </c>
      <c r="B1094" t="s">
        <v>77</v>
      </c>
      <c r="C1094" s="2" t="s">
        <v>182</v>
      </c>
    </row>
    <row r="1095" spans="1:3" x14ac:dyDescent="0.25">
      <c r="A1095" s="2" t="s">
        <v>27</v>
      </c>
      <c r="B1095" t="s">
        <v>40</v>
      </c>
      <c r="C1095" t="b">
        <v>0</v>
      </c>
    </row>
    <row r="1096" spans="1:3" x14ac:dyDescent="0.25">
      <c r="A1096" s="2" t="s">
        <v>27</v>
      </c>
      <c r="B1096" t="s">
        <v>41</v>
      </c>
      <c r="C1096" s="2" t="s">
        <v>61</v>
      </c>
    </row>
    <row r="1097" spans="1:3" x14ac:dyDescent="0.25">
      <c r="A1097" s="2" t="s">
        <v>27</v>
      </c>
      <c r="B1097" t="s">
        <v>76</v>
      </c>
      <c r="C1097" s="2" t="s">
        <v>496</v>
      </c>
    </row>
    <row r="1098" spans="1:3" x14ac:dyDescent="0.25">
      <c r="A1098" s="2" t="s">
        <v>27</v>
      </c>
      <c r="B1098" t="s">
        <v>44</v>
      </c>
      <c r="C1098">
        <v>20.71</v>
      </c>
    </row>
    <row r="1099" spans="1:3" x14ac:dyDescent="0.25">
      <c r="A1099" s="2" t="s">
        <v>27</v>
      </c>
      <c r="B1099" t="s">
        <v>77</v>
      </c>
      <c r="C1099" s="2" t="s">
        <v>79</v>
      </c>
    </row>
    <row r="1100" spans="1:3" x14ac:dyDescent="0.25">
      <c r="A1100" s="2" t="s">
        <v>28</v>
      </c>
      <c r="B1100" t="s">
        <v>40</v>
      </c>
      <c r="C1100" t="b">
        <v>0</v>
      </c>
    </row>
    <row r="1101" spans="1:3" x14ac:dyDescent="0.25">
      <c r="A1101" s="2" t="s">
        <v>28</v>
      </c>
      <c r="B1101" t="s">
        <v>41</v>
      </c>
      <c r="C1101" s="2" t="s">
        <v>62</v>
      </c>
    </row>
    <row r="1102" spans="1:3" x14ac:dyDescent="0.25">
      <c r="A1102" s="2" t="s">
        <v>28</v>
      </c>
      <c r="B1102" t="s">
        <v>76</v>
      </c>
      <c r="C1102" s="2" t="s">
        <v>497</v>
      </c>
    </row>
    <row r="1103" spans="1:3" x14ac:dyDescent="0.25">
      <c r="A1103" s="2" t="s">
        <v>28</v>
      </c>
      <c r="B1103" t="s">
        <v>44</v>
      </c>
      <c r="C1103">
        <v>16.14</v>
      </c>
    </row>
    <row r="1104" spans="1:3" x14ac:dyDescent="0.25">
      <c r="A1104" s="2" t="s">
        <v>21</v>
      </c>
      <c r="B1104" t="s">
        <v>184</v>
      </c>
      <c r="C1104" s="2" t="s">
        <v>478</v>
      </c>
    </row>
    <row r="1105" spans="1:3" x14ac:dyDescent="0.25">
      <c r="A1105" s="2" t="s">
        <v>21</v>
      </c>
      <c r="B1105" t="s">
        <v>186</v>
      </c>
      <c r="C1105">
        <v>3</v>
      </c>
    </row>
    <row r="1106" spans="1:3" x14ac:dyDescent="0.25">
      <c r="A1106" s="2" t="s">
        <v>21</v>
      </c>
      <c r="B1106" t="s">
        <v>187</v>
      </c>
      <c r="C1106">
        <v>10</v>
      </c>
    </row>
    <row r="1107" spans="1:3" x14ac:dyDescent="0.25">
      <c r="A1107" s="2" t="s">
        <v>21</v>
      </c>
      <c r="B1107" t="s">
        <v>188</v>
      </c>
      <c r="C1107">
        <v>1</v>
      </c>
    </row>
    <row r="1108" spans="1:3" x14ac:dyDescent="0.25">
      <c r="A1108" s="2" t="s">
        <v>21</v>
      </c>
      <c r="B1108" t="s">
        <v>189</v>
      </c>
      <c r="C1108">
        <v>-5.2631578947368397E-2</v>
      </c>
    </row>
    <row r="1109" spans="1:3" x14ac:dyDescent="0.25">
      <c r="A1109" s="2" t="s">
        <v>21</v>
      </c>
      <c r="B1109" t="s">
        <v>190</v>
      </c>
      <c r="C1109">
        <v>7039480</v>
      </c>
    </row>
    <row r="1110" spans="1:3" x14ac:dyDescent="0.25">
      <c r="A1110" s="2" t="s">
        <v>21</v>
      </c>
      <c r="B1110" t="s">
        <v>191</v>
      </c>
      <c r="C1110">
        <v>5</v>
      </c>
    </row>
    <row r="1111" spans="1:3" x14ac:dyDescent="0.25">
      <c r="A1111" s="2" t="s">
        <v>21</v>
      </c>
      <c r="B1111" t="s">
        <v>192</v>
      </c>
      <c r="C1111">
        <v>50</v>
      </c>
    </row>
    <row r="1112" spans="1:3" x14ac:dyDescent="0.25">
      <c r="A1112" s="2" t="s">
        <v>21</v>
      </c>
      <c r="B1112" t="s">
        <v>193</v>
      </c>
      <c r="C1112">
        <v>8711167</v>
      </c>
    </row>
    <row r="1113" spans="1:3" x14ac:dyDescent="0.25">
      <c r="A1113" s="2" t="s">
        <v>21</v>
      </c>
      <c r="B1113" t="s">
        <v>194</v>
      </c>
      <c r="C1113">
        <v>2</v>
      </c>
    </row>
    <row r="1114" spans="1:3" x14ac:dyDescent="0.25">
      <c r="A1114" s="2" t="s">
        <v>21</v>
      </c>
      <c r="B1114" t="s">
        <v>195</v>
      </c>
      <c r="C1114">
        <v>3.65853658536585E-2</v>
      </c>
    </row>
    <row r="1115" spans="1:3" x14ac:dyDescent="0.25">
      <c r="A1115" s="2" t="s">
        <v>21</v>
      </c>
      <c r="B1115" t="s">
        <v>196</v>
      </c>
      <c r="C1115">
        <v>8109667</v>
      </c>
    </row>
    <row r="1116" spans="1:3" x14ac:dyDescent="0.25">
      <c r="A1116" s="2" t="s">
        <v>25</v>
      </c>
      <c r="B1116" t="s">
        <v>184</v>
      </c>
      <c r="C1116" s="2" t="s">
        <v>202</v>
      </c>
    </row>
    <row r="1117" spans="1:3" x14ac:dyDescent="0.25">
      <c r="A1117" s="2" t="s">
        <v>25</v>
      </c>
      <c r="B1117" t="s">
        <v>186</v>
      </c>
      <c r="C1117">
        <v>3</v>
      </c>
    </row>
    <row r="1118" spans="1:3" x14ac:dyDescent="0.25">
      <c r="A1118" s="2" t="s">
        <v>25</v>
      </c>
      <c r="B1118" t="s">
        <v>187</v>
      </c>
      <c r="C1118">
        <v>8</v>
      </c>
    </row>
    <row r="1119" spans="1:3" x14ac:dyDescent="0.25">
      <c r="A1119" s="2" t="s">
        <v>25</v>
      </c>
      <c r="B1119" t="s">
        <v>188</v>
      </c>
      <c r="C1119">
        <v>1</v>
      </c>
    </row>
    <row r="1120" spans="1:3" x14ac:dyDescent="0.25">
      <c r="A1120" s="2" t="s">
        <v>25</v>
      </c>
      <c r="B1120" t="s">
        <v>189</v>
      </c>
      <c r="C1120">
        <v>24</v>
      </c>
    </row>
    <row r="1121" spans="1:3" x14ac:dyDescent="0.25">
      <c r="A1121" s="2" t="s">
        <v>25</v>
      </c>
      <c r="B1121" t="s">
        <v>190</v>
      </c>
      <c r="C1121">
        <v>7039480</v>
      </c>
    </row>
    <row r="1122" spans="1:3" x14ac:dyDescent="0.25">
      <c r="A1122" s="2" t="s">
        <v>25</v>
      </c>
      <c r="B1122" t="s">
        <v>191</v>
      </c>
      <c r="C1122">
        <v>5</v>
      </c>
    </row>
    <row r="1123" spans="1:3" x14ac:dyDescent="0.25">
      <c r="A1123" s="2" t="s">
        <v>25</v>
      </c>
      <c r="B1123" t="s">
        <v>192</v>
      </c>
      <c r="C1123">
        <v>50</v>
      </c>
    </row>
    <row r="1124" spans="1:3" x14ac:dyDescent="0.25">
      <c r="A1124" s="2" t="s">
        <v>25</v>
      </c>
      <c r="B1124" t="s">
        <v>193</v>
      </c>
      <c r="C1124">
        <v>8711167</v>
      </c>
    </row>
    <row r="1125" spans="1:3" x14ac:dyDescent="0.25">
      <c r="A1125" s="2" t="s">
        <v>25</v>
      </c>
      <c r="B1125" t="s">
        <v>194</v>
      </c>
      <c r="C1125">
        <v>2</v>
      </c>
    </row>
    <row r="1126" spans="1:3" x14ac:dyDescent="0.25">
      <c r="A1126" s="2" t="s">
        <v>25</v>
      </c>
      <c r="B1126" t="s">
        <v>195</v>
      </c>
      <c r="C1126">
        <v>1395</v>
      </c>
    </row>
    <row r="1127" spans="1:3" x14ac:dyDescent="0.25">
      <c r="A1127" s="2" t="s">
        <v>25</v>
      </c>
      <c r="B1127" t="s">
        <v>196</v>
      </c>
      <c r="C1127">
        <v>8109667</v>
      </c>
    </row>
    <row r="1128" spans="1:3" x14ac:dyDescent="0.25">
      <c r="A1128" s="2" t="s">
        <v>26</v>
      </c>
      <c r="B1128" t="s">
        <v>184</v>
      </c>
      <c r="C1128" s="2" t="s">
        <v>203</v>
      </c>
    </row>
    <row r="1129" spans="1:3" x14ac:dyDescent="0.25">
      <c r="A1129" s="2" t="s">
        <v>26</v>
      </c>
      <c r="B1129" t="s">
        <v>186</v>
      </c>
      <c r="C1129">
        <v>3</v>
      </c>
    </row>
    <row r="1130" spans="1:3" x14ac:dyDescent="0.25">
      <c r="A1130" s="2" t="s">
        <v>26</v>
      </c>
      <c r="B1130" t="s">
        <v>187</v>
      </c>
      <c r="C1130">
        <v>9</v>
      </c>
    </row>
    <row r="1131" spans="1:3" x14ac:dyDescent="0.25">
      <c r="A1131" s="2" t="s">
        <v>26</v>
      </c>
      <c r="B1131" t="s">
        <v>188</v>
      </c>
      <c r="C1131">
        <v>1</v>
      </c>
    </row>
    <row r="1132" spans="1:3" x14ac:dyDescent="0.25">
      <c r="A1132" s="2" t="s">
        <v>26</v>
      </c>
      <c r="B1132" t="s">
        <v>189</v>
      </c>
      <c r="C1132">
        <v>3872</v>
      </c>
    </row>
    <row r="1133" spans="1:3" x14ac:dyDescent="0.25">
      <c r="A1133" s="2" t="s">
        <v>26</v>
      </c>
      <c r="B1133" t="s">
        <v>190</v>
      </c>
      <c r="C1133">
        <v>7039480</v>
      </c>
    </row>
    <row r="1134" spans="1:3" x14ac:dyDescent="0.25">
      <c r="A1134" s="2" t="s">
        <v>26</v>
      </c>
      <c r="B1134" t="s">
        <v>191</v>
      </c>
      <c r="C1134">
        <v>5</v>
      </c>
    </row>
    <row r="1135" spans="1:3" x14ac:dyDescent="0.25">
      <c r="A1135" s="2" t="s">
        <v>26</v>
      </c>
      <c r="B1135" t="s">
        <v>192</v>
      </c>
      <c r="C1135">
        <v>50</v>
      </c>
    </row>
    <row r="1136" spans="1:3" x14ac:dyDescent="0.25">
      <c r="A1136" s="2" t="s">
        <v>26</v>
      </c>
      <c r="B1136" t="s">
        <v>193</v>
      </c>
      <c r="C1136">
        <v>8711167</v>
      </c>
    </row>
    <row r="1137" spans="1:11" x14ac:dyDescent="0.25">
      <c r="A1137" s="2" t="s">
        <v>26</v>
      </c>
      <c r="B1137" t="s">
        <v>194</v>
      </c>
      <c r="C1137">
        <v>2</v>
      </c>
    </row>
    <row r="1138" spans="1:11" x14ac:dyDescent="0.25">
      <c r="A1138" s="2" t="s">
        <v>26</v>
      </c>
      <c r="B1138" t="s">
        <v>195</v>
      </c>
      <c r="C1138">
        <v>45067</v>
      </c>
    </row>
    <row r="1139" spans="1:11" x14ac:dyDescent="0.25">
      <c r="A1139" s="2" t="s">
        <v>26</v>
      </c>
      <c r="B1139" t="s">
        <v>196</v>
      </c>
      <c r="C1139">
        <v>8109667</v>
      </c>
    </row>
    <row r="1140" spans="1:11" x14ac:dyDescent="0.25">
      <c r="A1140" s="2" t="s">
        <v>32</v>
      </c>
      <c r="B1140" t="s">
        <v>63</v>
      </c>
      <c r="C1140" t="b">
        <v>0</v>
      </c>
    </row>
    <row r="1141" spans="1:11" x14ac:dyDescent="0.25">
      <c r="A1141" s="2" t="s">
        <v>32</v>
      </c>
      <c r="B1141" t="s">
        <v>64</v>
      </c>
      <c r="C1141" t="b">
        <v>1</v>
      </c>
    </row>
    <row r="1142" spans="1:11" x14ac:dyDescent="0.25">
      <c r="A1142" s="2" t="s">
        <v>32</v>
      </c>
      <c r="B1142" t="s">
        <v>65</v>
      </c>
      <c r="C1142" t="b">
        <v>1</v>
      </c>
    </row>
    <row r="1143" spans="1:11" x14ac:dyDescent="0.25">
      <c r="A1143" s="2" t="s">
        <v>32</v>
      </c>
      <c r="B1143" t="s">
        <v>66</v>
      </c>
      <c r="C1143">
        <v>0</v>
      </c>
    </row>
    <row r="1144" spans="1:11" x14ac:dyDescent="0.25">
      <c r="A1144" s="2" t="s">
        <v>32</v>
      </c>
      <c r="B1144" t="s">
        <v>67</v>
      </c>
      <c r="C1144">
        <v>1</v>
      </c>
    </row>
    <row r="1145" spans="1:11" x14ac:dyDescent="0.25">
      <c r="A1145" s="2" t="s">
        <v>32</v>
      </c>
      <c r="B1145" t="s">
        <v>68</v>
      </c>
      <c r="C1145">
        <v>1</v>
      </c>
    </row>
    <row r="1146" spans="1:11" x14ac:dyDescent="0.25">
      <c r="A1146" s="2" t="s">
        <v>32</v>
      </c>
      <c r="B1146" t="s">
        <v>69</v>
      </c>
      <c r="C1146">
        <v>100</v>
      </c>
    </row>
    <row r="1147" spans="1:11" x14ac:dyDescent="0.25">
      <c r="A1147" t="s">
        <v>479</v>
      </c>
    </row>
    <row r="1148" spans="1:11" x14ac:dyDescent="0.25">
      <c r="A1148" t="s">
        <v>498</v>
      </c>
    </row>
    <row r="1149" spans="1:11" x14ac:dyDescent="0.25">
      <c r="D1149" t="s">
        <v>10</v>
      </c>
      <c r="E1149" t="s">
        <v>230</v>
      </c>
      <c r="G1149" t="s">
        <v>231</v>
      </c>
      <c r="J1149" t="s">
        <v>232</v>
      </c>
      <c r="K1149" t="s">
        <v>233</v>
      </c>
    </row>
    <row r="1150" spans="1:11" x14ac:dyDescent="0.25">
      <c r="D1150" t="s">
        <v>11</v>
      </c>
      <c r="E1150" t="s">
        <v>234</v>
      </c>
      <c r="G1150" t="s">
        <v>266</v>
      </c>
      <c r="J1150" t="s">
        <v>267</v>
      </c>
    </row>
    <row r="1151" spans="1:11" x14ac:dyDescent="0.25">
      <c r="D1151" t="s">
        <v>12</v>
      </c>
      <c r="E1151" t="s">
        <v>236</v>
      </c>
      <c r="G1151" t="s">
        <v>231</v>
      </c>
      <c r="J1151" t="s">
        <v>232</v>
      </c>
      <c r="K1151" t="s">
        <v>271</v>
      </c>
    </row>
    <row r="1152" spans="1:11" x14ac:dyDescent="0.25">
      <c r="D1152" t="s">
        <v>13</v>
      </c>
      <c r="E1152" t="s">
        <v>237</v>
      </c>
      <c r="G1152" t="s">
        <v>231</v>
      </c>
      <c r="J1152" t="s">
        <v>232</v>
      </c>
      <c r="K1152" t="s">
        <v>323</v>
      </c>
    </row>
    <row r="1153" spans="1:11" x14ac:dyDescent="0.25">
      <c r="D1153" t="s">
        <v>14</v>
      </c>
      <c r="E1153" t="s">
        <v>239</v>
      </c>
      <c r="G1153" t="s">
        <v>231</v>
      </c>
      <c r="J1153" t="s">
        <v>232</v>
      </c>
      <c r="K1153" t="s">
        <v>313</v>
      </c>
    </row>
    <row r="1154" spans="1:11" x14ac:dyDescent="0.25">
      <c r="D1154" t="s">
        <v>15</v>
      </c>
      <c r="E1154" t="s">
        <v>241</v>
      </c>
      <c r="G1154" t="s">
        <v>231</v>
      </c>
      <c r="J1154" t="s">
        <v>232</v>
      </c>
      <c r="K1154" t="s">
        <v>406</v>
      </c>
    </row>
    <row r="1155" spans="1:11" x14ac:dyDescent="0.25">
      <c r="D1155" t="s">
        <v>16</v>
      </c>
      <c r="E1155" t="s">
        <v>242</v>
      </c>
      <c r="G1155" t="s">
        <v>231</v>
      </c>
      <c r="J1155" t="s">
        <v>232</v>
      </c>
      <c r="K1155" t="s">
        <v>270</v>
      </c>
    </row>
    <row r="1156" spans="1:11" x14ac:dyDescent="0.25">
      <c r="D1156" t="s">
        <v>17</v>
      </c>
      <c r="E1156" t="s">
        <v>243</v>
      </c>
      <c r="G1156" t="s">
        <v>231</v>
      </c>
      <c r="J1156" t="s">
        <v>232</v>
      </c>
      <c r="K1156" t="s">
        <v>313</v>
      </c>
    </row>
    <row r="1157" spans="1:11" x14ac:dyDescent="0.25">
      <c r="D1157" t="s">
        <v>18</v>
      </c>
      <c r="E1157" t="s">
        <v>244</v>
      </c>
      <c r="G1157" t="s">
        <v>231</v>
      </c>
      <c r="J1157" t="s">
        <v>232</v>
      </c>
      <c r="K1157" t="s">
        <v>271</v>
      </c>
    </row>
    <row r="1158" spans="1:11" x14ac:dyDescent="0.25">
      <c r="D1158" t="s">
        <v>19</v>
      </c>
      <c r="E1158" t="s">
        <v>246</v>
      </c>
      <c r="G1158" t="s">
        <v>231</v>
      </c>
      <c r="J1158" t="s">
        <v>232</v>
      </c>
      <c r="K1158" t="s">
        <v>271</v>
      </c>
    </row>
    <row r="1159" spans="1:11" x14ac:dyDescent="0.25">
      <c r="D1159" t="s">
        <v>20</v>
      </c>
      <c r="E1159" t="s">
        <v>247</v>
      </c>
      <c r="G1159" t="s">
        <v>231</v>
      </c>
      <c r="J1159" t="s">
        <v>232</v>
      </c>
      <c r="K1159" t="s">
        <v>313</v>
      </c>
    </row>
    <row r="1160" spans="1:11" x14ac:dyDescent="0.25">
      <c r="D1160" t="s">
        <v>21</v>
      </c>
      <c r="E1160" t="s">
        <v>249</v>
      </c>
      <c r="G1160" t="s">
        <v>231</v>
      </c>
      <c r="J1160" t="s">
        <v>232</v>
      </c>
      <c r="K1160" t="s">
        <v>316</v>
      </c>
    </row>
    <row r="1161" spans="1:11" x14ac:dyDescent="0.25">
      <c r="D1161" t="s">
        <v>22</v>
      </c>
      <c r="E1161" t="s">
        <v>305</v>
      </c>
      <c r="G1161" t="s">
        <v>231</v>
      </c>
      <c r="J1161" t="s">
        <v>232</v>
      </c>
      <c r="K1161" t="s">
        <v>271</v>
      </c>
    </row>
    <row r="1162" spans="1:11" x14ac:dyDescent="0.25">
      <c r="D1162" t="s">
        <v>23</v>
      </c>
      <c r="E1162" t="s">
        <v>307</v>
      </c>
      <c r="G1162" t="s">
        <v>231</v>
      </c>
      <c r="J1162" t="s">
        <v>232</v>
      </c>
      <c r="K1162" t="s">
        <v>320</v>
      </c>
    </row>
    <row r="1163" spans="1:11" x14ac:dyDescent="0.25">
      <c r="D1163" t="s">
        <v>24</v>
      </c>
      <c r="E1163" t="s">
        <v>309</v>
      </c>
      <c r="G1163" t="s">
        <v>231</v>
      </c>
      <c r="J1163" t="s">
        <v>232</v>
      </c>
      <c r="K1163" t="s">
        <v>320</v>
      </c>
    </row>
    <row r="1164" spans="1:11" x14ac:dyDescent="0.25">
      <c r="D1164" t="s">
        <v>25</v>
      </c>
      <c r="E1164" t="s">
        <v>310</v>
      </c>
      <c r="G1164" t="s">
        <v>231</v>
      </c>
      <c r="J1164" t="s">
        <v>232</v>
      </c>
      <c r="K1164" t="s">
        <v>313</v>
      </c>
    </row>
    <row r="1165" spans="1:11" x14ac:dyDescent="0.25">
      <c r="D1165" t="s">
        <v>26</v>
      </c>
      <c r="E1165" t="s">
        <v>311</v>
      </c>
      <c r="G1165" t="s">
        <v>231</v>
      </c>
      <c r="J1165" t="s">
        <v>232</v>
      </c>
      <c r="K1165" t="s">
        <v>270</v>
      </c>
    </row>
    <row r="1166" spans="1:11" x14ac:dyDescent="0.25">
      <c r="D1166" t="s">
        <v>27</v>
      </c>
      <c r="E1166" t="s">
        <v>312</v>
      </c>
      <c r="G1166" t="s">
        <v>231</v>
      </c>
      <c r="J1166" t="s">
        <v>232</v>
      </c>
      <c r="K1166" t="s">
        <v>419</v>
      </c>
    </row>
    <row r="1167" spans="1:11" x14ac:dyDescent="0.25">
      <c r="D1167" t="s">
        <v>28</v>
      </c>
      <c r="E1167" t="s">
        <v>314</v>
      </c>
      <c r="G1167" t="s">
        <v>231</v>
      </c>
      <c r="J1167" t="s">
        <v>232</v>
      </c>
      <c r="K1167" t="s">
        <v>409</v>
      </c>
    </row>
    <row r="1168" spans="1:11" x14ac:dyDescent="0.25">
      <c r="A1168" t="s">
        <v>499</v>
      </c>
    </row>
    <row r="1169" spans="1:9" x14ac:dyDescent="0.25">
      <c r="A1169" t="s">
        <v>522</v>
      </c>
    </row>
    <row r="1170" spans="1:9" x14ac:dyDescent="0.25">
      <c r="A1170" t="s">
        <v>523</v>
      </c>
      <c r="B1170" t="s">
        <v>524</v>
      </c>
      <c r="C1170" t="s">
        <v>525</v>
      </c>
      <c r="D1170" t="s">
        <v>525</v>
      </c>
      <c r="E1170" t="s">
        <v>220</v>
      </c>
      <c r="F1170" t="s">
        <v>526</v>
      </c>
    </row>
    <row r="1171" spans="1:9" x14ac:dyDescent="0.25">
      <c r="A1171" t="s">
        <v>527</v>
      </c>
    </row>
    <row r="1172" spans="1:9" x14ac:dyDescent="0.25">
      <c r="A1172" t="s">
        <v>528</v>
      </c>
    </row>
    <row r="1173" spans="1:9" x14ac:dyDescent="0.25">
      <c r="C1173" t="s">
        <v>525</v>
      </c>
      <c r="D1173" t="s">
        <v>529</v>
      </c>
      <c r="E1173" t="s">
        <v>222</v>
      </c>
      <c r="I1173" t="s">
        <v>224</v>
      </c>
    </row>
    <row r="1174" spans="1:9" x14ac:dyDescent="0.25">
      <c r="C1174" t="s">
        <v>525</v>
      </c>
      <c r="D1174" t="s">
        <v>530</v>
      </c>
      <c r="E1174" t="s">
        <v>222</v>
      </c>
      <c r="I1174" t="s">
        <v>223</v>
      </c>
    </row>
    <row r="1175" spans="1:9" x14ac:dyDescent="0.25">
      <c r="C1175" t="s">
        <v>525</v>
      </c>
      <c r="D1175" t="s">
        <v>531</v>
      </c>
      <c r="E1175" t="s">
        <v>222</v>
      </c>
      <c r="I1175" t="s">
        <v>532</v>
      </c>
    </row>
    <row r="1176" spans="1:9" x14ac:dyDescent="0.25">
      <c r="C1176" t="s">
        <v>525</v>
      </c>
      <c r="D1176" t="s">
        <v>533</v>
      </c>
      <c r="E1176" t="s">
        <v>222</v>
      </c>
      <c r="I1176" t="s">
        <v>534</v>
      </c>
    </row>
    <row r="1177" spans="1:9" x14ac:dyDescent="0.25">
      <c r="C1177" t="s">
        <v>525</v>
      </c>
      <c r="D1177" t="s">
        <v>535</v>
      </c>
      <c r="E1177" t="s">
        <v>222</v>
      </c>
      <c r="I1177" t="s">
        <v>226</v>
      </c>
    </row>
    <row r="1178" spans="1:9" x14ac:dyDescent="0.25">
      <c r="C1178" t="s">
        <v>525</v>
      </c>
      <c r="D1178" t="s">
        <v>536</v>
      </c>
      <c r="E1178" t="s">
        <v>222</v>
      </c>
      <c r="I1178" t="s">
        <v>537</v>
      </c>
    </row>
    <row r="1179" spans="1:9" x14ac:dyDescent="0.25">
      <c r="C1179" t="s">
        <v>525</v>
      </c>
      <c r="D1179" t="s">
        <v>538</v>
      </c>
      <c r="E1179" t="s">
        <v>222</v>
      </c>
      <c r="I1179" t="s">
        <v>539</v>
      </c>
    </row>
    <row r="1180" spans="1:9" x14ac:dyDescent="0.25">
      <c r="C1180" t="s">
        <v>525</v>
      </c>
      <c r="D1180" t="s">
        <v>540</v>
      </c>
      <c r="E1180" t="s">
        <v>222</v>
      </c>
      <c r="I1180" t="s">
        <v>225</v>
      </c>
    </row>
    <row r="1181" spans="1:9" x14ac:dyDescent="0.25">
      <c r="C1181" t="s">
        <v>525</v>
      </c>
      <c r="D1181" t="s">
        <v>541</v>
      </c>
      <c r="E1181" t="s">
        <v>222</v>
      </c>
      <c r="I1181" t="s">
        <v>542</v>
      </c>
    </row>
    <row r="1182" spans="1:9" x14ac:dyDescent="0.25">
      <c r="C1182" t="s">
        <v>525</v>
      </c>
      <c r="D1182" t="s">
        <v>543</v>
      </c>
      <c r="E1182" t="s">
        <v>222</v>
      </c>
      <c r="I1182" t="s">
        <v>544</v>
      </c>
    </row>
    <row r="1183" spans="1:9" x14ac:dyDescent="0.25">
      <c r="C1183" t="s">
        <v>525</v>
      </c>
      <c r="D1183" t="s">
        <v>545</v>
      </c>
      <c r="E1183" t="s">
        <v>222</v>
      </c>
      <c r="I1183" t="s">
        <v>546</v>
      </c>
    </row>
    <row r="1184" spans="1:9" x14ac:dyDescent="0.25">
      <c r="C1184" t="s">
        <v>525</v>
      </c>
      <c r="D1184" t="s">
        <v>547</v>
      </c>
      <c r="E1184" t="s">
        <v>222</v>
      </c>
      <c r="I1184" t="s">
        <v>548</v>
      </c>
    </row>
    <row r="1185" spans="1:9" x14ac:dyDescent="0.25">
      <c r="C1185" t="s">
        <v>525</v>
      </c>
      <c r="D1185" t="s">
        <v>549</v>
      </c>
      <c r="E1185" t="s">
        <v>222</v>
      </c>
      <c r="I1185" t="s">
        <v>221</v>
      </c>
    </row>
    <row r="1186" spans="1:9" x14ac:dyDescent="0.25">
      <c r="C1186" t="s">
        <v>525</v>
      </c>
      <c r="D1186" t="s">
        <v>550</v>
      </c>
      <c r="E1186" t="s">
        <v>222</v>
      </c>
      <c r="I1186" t="s">
        <v>551</v>
      </c>
    </row>
    <row r="1187" spans="1:9" x14ac:dyDescent="0.25">
      <c r="C1187" t="s">
        <v>525</v>
      </c>
      <c r="D1187" t="s">
        <v>552</v>
      </c>
      <c r="E1187" t="s">
        <v>222</v>
      </c>
      <c r="I1187" t="s">
        <v>553</v>
      </c>
    </row>
    <row r="1188" spans="1:9" x14ac:dyDescent="0.25">
      <c r="C1188" t="s">
        <v>525</v>
      </c>
      <c r="D1188" t="s">
        <v>554</v>
      </c>
      <c r="E1188" t="s">
        <v>222</v>
      </c>
      <c r="I1188" t="s">
        <v>555</v>
      </c>
    </row>
    <row r="1189" spans="1:9" x14ac:dyDescent="0.25">
      <c r="C1189" t="s">
        <v>525</v>
      </c>
      <c r="D1189" t="s">
        <v>556</v>
      </c>
      <c r="E1189" t="s">
        <v>222</v>
      </c>
      <c r="I1189" t="s">
        <v>557</v>
      </c>
    </row>
    <row r="1190" spans="1:9" x14ac:dyDescent="0.25">
      <c r="C1190" t="s">
        <v>525</v>
      </c>
      <c r="D1190" t="s">
        <v>558</v>
      </c>
      <c r="E1190" t="s">
        <v>222</v>
      </c>
      <c r="I1190" t="s">
        <v>227</v>
      </c>
    </row>
    <row r="1191" spans="1:9" x14ac:dyDescent="0.25">
      <c r="C1191" t="s">
        <v>525</v>
      </c>
      <c r="D1191" t="s">
        <v>559</v>
      </c>
      <c r="E1191" t="s">
        <v>222</v>
      </c>
      <c r="I1191" t="s">
        <v>228</v>
      </c>
    </row>
    <row r="1192" spans="1:9" x14ac:dyDescent="0.25">
      <c r="A1192" t="s">
        <v>560</v>
      </c>
    </row>
    <row r="1193" spans="1:9" x14ac:dyDescent="0.25">
      <c r="A1193" t="s">
        <v>500</v>
      </c>
    </row>
    <row r="1194" spans="1:9" x14ac:dyDescent="0.25">
      <c r="A1194" s="2" t="s">
        <v>32</v>
      </c>
      <c r="B1194" t="s">
        <v>33</v>
      </c>
      <c r="C1194" s="2" t="s">
        <v>175</v>
      </c>
    </row>
    <row r="1195" spans="1:9" x14ac:dyDescent="0.25">
      <c r="A1195" s="2" t="s">
        <v>32</v>
      </c>
      <c r="B1195" t="s">
        <v>34</v>
      </c>
      <c r="C1195" t="b">
        <v>0</v>
      </c>
    </row>
    <row r="1196" spans="1:9" x14ac:dyDescent="0.25">
      <c r="A1196" s="2" t="s">
        <v>32</v>
      </c>
      <c r="B1196" t="s">
        <v>35</v>
      </c>
      <c r="C1196" s="2" t="s">
        <v>75</v>
      </c>
    </row>
    <row r="1197" spans="1:9" x14ac:dyDescent="0.25">
      <c r="A1197" s="2" t="s">
        <v>32</v>
      </c>
      <c r="B1197" t="s">
        <v>36</v>
      </c>
      <c r="C1197" t="b">
        <v>0</v>
      </c>
    </row>
    <row r="1198" spans="1:9" x14ac:dyDescent="0.25">
      <c r="A1198" s="2" t="s">
        <v>32</v>
      </c>
      <c r="B1198" t="s">
        <v>37</v>
      </c>
      <c r="C1198" t="b">
        <v>0</v>
      </c>
    </row>
    <row r="1199" spans="1:9" x14ac:dyDescent="0.25">
      <c r="A1199" s="2" t="s">
        <v>32</v>
      </c>
      <c r="B1199" t="s">
        <v>38</v>
      </c>
      <c r="C1199" t="b">
        <v>0</v>
      </c>
    </row>
    <row r="1200" spans="1:9" x14ac:dyDescent="0.25">
      <c r="A1200" s="2" t="s">
        <v>32</v>
      </c>
      <c r="B1200" t="s">
        <v>39</v>
      </c>
      <c r="C1200" t="b">
        <v>0</v>
      </c>
    </row>
    <row r="1201" spans="1:3" x14ac:dyDescent="0.25">
      <c r="A1201" s="2" t="s">
        <v>9</v>
      </c>
      <c r="B1201" t="s">
        <v>40</v>
      </c>
      <c r="C1201" t="b">
        <v>1</v>
      </c>
    </row>
    <row r="1202" spans="1:3" x14ac:dyDescent="0.25">
      <c r="A1202" s="2" t="s">
        <v>9</v>
      </c>
      <c r="B1202" t="s">
        <v>41</v>
      </c>
      <c r="C1202" s="2" t="s">
        <v>42</v>
      </c>
    </row>
    <row r="1203" spans="1:3" x14ac:dyDescent="0.25">
      <c r="A1203" s="2" t="s">
        <v>10</v>
      </c>
      <c r="B1203" t="s">
        <v>40</v>
      </c>
      <c r="C1203" t="b">
        <v>0</v>
      </c>
    </row>
    <row r="1204" spans="1:3" x14ac:dyDescent="0.25">
      <c r="A1204" s="2" t="s">
        <v>10</v>
      </c>
      <c r="B1204" t="s">
        <v>41</v>
      </c>
      <c r="C1204" s="2" t="s">
        <v>43</v>
      </c>
    </row>
    <row r="1205" spans="1:3" x14ac:dyDescent="0.25">
      <c r="A1205" s="2" t="s">
        <v>10</v>
      </c>
      <c r="B1205" t="s">
        <v>44</v>
      </c>
      <c r="C1205">
        <v>20.29</v>
      </c>
    </row>
    <row r="1206" spans="1:3" x14ac:dyDescent="0.25">
      <c r="A1206" s="2" t="s">
        <v>11</v>
      </c>
      <c r="B1206" t="s">
        <v>40</v>
      </c>
      <c r="C1206" t="b">
        <v>0</v>
      </c>
    </row>
    <row r="1207" spans="1:3" x14ac:dyDescent="0.25">
      <c r="A1207" s="2" t="s">
        <v>11</v>
      </c>
      <c r="B1207" t="s">
        <v>41</v>
      </c>
      <c r="C1207" s="2" t="s">
        <v>45</v>
      </c>
    </row>
    <row r="1208" spans="1:3" x14ac:dyDescent="0.25">
      <c r="A1208" s="2" t="s">
        <v>11</v>
      </c>
      <c r="B1208" t="s">
        <v>44</v>
      </c>
      <c r="C1208">
        <v>9</v>
      </c>
    </row>
    <row r="1209" spans="1:3" x14ac:dyDescent="0.25">
      <c r="A1209" s="2" t="s">
        <v>11</v>
      </c>
      <c r="B1209" t="s">
        <v>77</v>
      </c>
      <c r="C1209" s="2" t="s">
        <v>78</v>
      </c>
    </row>
    <row r="1210" spans="1:3" x14ac:dyDescent="0.25">
      <c r="A1210" s="2" t="s">
        <v>12</v>
      </c>
      <c r="B1210" t="s">
        <v>40</v>
      </c>
      <c r="C1210" t="b">
        <v>0</v>
      </c>
    </row>
    <row r="1211" spans="1:3" x14ac:dyDescent="0.25">
      <c r="A1211" s="2" t="s">
        <v>12</v>
      </c>
      <c r="B1211" t="s">
        <v>41</v>
      </c>
      <c r="C1211" s="2" t="s">
        <v>46</v>
      </c>
    </row>
    <row r="1212" spans="1:3" x14ac:dyDescent="0.25">
      <c r="A1212" s="2" t="s">
        <v>12</v>
      </c>
      <c r="B1212" t="s">
        <v>76</v>
      </c>
      <c r="C1212" s="2" t="s">
        <v>502</v>
      </c>
    </row>
    <row r="1213" spans="1:3" x14ac:dyDescent="0.25">
      <c r="A1213" s="2" t="s">
        <v>12</v>
      </c>
      <c r="B1213" t="s">
        <v>44</v>
      </c>
      <c r="C1213">
        <v>9.7100000000000009</v>
      </c>
    </row>
    <row r="1214" spans="1:3" x14ac:dyDescent="0.25">
      <c r="A1214" s="2" t="s">
        <v>12</v>
      </c>
      <c r="B1214" t="s">
        <v>77</v>
      </c>
      <c r="C1214" s="2" t="s">
        <v>79</v>
      </c>
    </row>
    <row r="1215" spans="1:3" x14ac:dyDescent="0.25">
      <c r="A1215" s="2" t="s">
        <v>13</v>
      </c>
      <c r="B1215" t="s">
        <v>40</v>
      </c>
      <c r="C1215" t="b">
        <v>0</v>
      </c>
    </row>
    <row r="1216" spans="1:3" x14ac:dyDescent="0.25">
      <c r="A1216" s="2" t="s">
        <v>13</v>
      </c>
      <c r="B1216" t="s">
        <v>41</v>
      </c>
      <c r="C1216" s="2" t="s">
        <v>47</v>
      </c>
    </row>
    <row r="1217" spans="1:3" x14ac:dyDescent="0.25">
      <c r="A1217" s="2" t="s">
        <v>13</v>
      </c>
      <c r="B1217" t="s">
        <v>76</v>
      </c>
      <c r="C1217" s="2" t="s">
        <v>503</v>
      </c>
    </row>
    <row r="1218" spans="1:3" x14ac:dyDescent="0.25">
      <c r="A1218" s="2" t="s">
        <v>13</v>
      </c>
      <c r="B1218" t="s">
        <v>44</v>
      </c>
      <c r="C1218">
        <v>20.29</v>
      </c>
    </row>
    <row r="1219" spans="1:3" x14ac:dyDescent="0.25">
      <c r="A1219" s="2" t="s">
        <v>14</v>
      </c>
      <c r="B1219" t="s">
        <v>40</v>
      </c>
      <c r="C1219" t="b">
        <v>0</v>
      </c>
    </row>
    <row r="1220" spans="1:3" x14ac:dyDescent="0.25">
      <c r="A1220" s="2" t="s">
        <v>14</v>
      </c>
      <c r="B1220" t="s">
        <v>41</v>
      </c>
      <c r="C1220" s="2" t="s">
        <v>48</v>
      </c>
    </row>
    <row r="1221" spans="1:3" x14ac:dyDescent="0.25">
      <c r="A1221" s="2" t="s">
        <v>14</v>
      </c>
      <c r="B1221" t="s">
        <v>76</v>
      </c>
      <c r="C1221" s="2" t="s">
        <v>504</v>
      </c>
    </row>
    <row r="1222" spans="1:3" x14ac:dyDescent="0.25">
      <c r="A1222" s="2" t="s">
        <v>14</v>
      </c>
      <c r="B1222" t="s">
        <v>44</v>
      </c>
      <c r="C1222">
        <v>6.86</v>
      </c>
    </row>
    <row r="1223" spans="1:3" x14ac:dyDescent="0.25">
      <c r="A1223" s="2" t="s">
        <v>15</v>
      </c>
      <c r="B1223" t="s">
        <v>40</v>
      </c>
      <c r="C1223" t="b">
        <v>0</v>
      </c>
    </row>
    <row r="1224" spans="1:3" x14ac:dyDescent="0.25">
      <c r="A1224" s="2" t="s">
        <v>15</v>
      </c>
      <c r="B1224" t="s">
        <v>41</v>
      </c>
      <c r="C1224" s="2" t="s">
        <v>49</v>
      </c>
    </row>
    <row r="1225" spans="1:3" x14ac:dyDescent="0.25">
      <c r="A1225" s="2" t="s">
        <v>15</v>
      </c>
      <c r="B1225" t="s">
        <v>76</v>
      </c>
      <c r="C1225" s="2" t="s">
        <v>505</v>
      </c>
    </row>
    <row r="1226" spans="1:3" x14ac:dyDescent="0.25">
      <c r="A1226" s="2" t="s">
        <v>15</v>
      </c>
      <c r="B1226" t="s">
        <v>44</v>
      </c>
      <c r="C1226">
        <v>13.14</v>
      </c>
    </row>
    <row r="1227" spans="1:3" x14ac:dyDescent="0.25">
      <c r="A1227" s="2" t="s">
        <v>16</v>
      </c>
      <c r="B1227" t="s">
        <v>40</v>
      </c>
      <c r="C1227" t="b">
        <v>0</v>
      </c>
    </row>
    <row r="1228" spans="1:3" x14ac:dyDescent="0.25">
      <c r="A1228" s="2" t="s">
        <v>16</v>
      </c>
      <c r="B1228" t="s">
        <v>41</v>
      </c>
      <c r="C1228" s="2" t="s">
        <v>50</v>
      </c>
    </row>
    <row r="1229" spans="1:3" x14ac:dyDescent="0.25">
      <c r="A1229" s="2" t="s">
        <v>16</v>
      </c>
      <c r="B1229" t="s">
        <v>76</v>
      </c>
      <c r="C1229" s="2" t="s">
        <v>506</v>
      </c>
    </row>
    <row r="1230" spans="1:3" x14ac:dyDescent="0.25">
      <c r="A1230" s="2" t="s">
        <v>16</v>
      </c>
      <c r="B1230" t="s">
        <v>44</v>
      </c>
      <c r="C1230">
        <v>9</v>
      </c>
    </row>
    <row r="1231" spans="1:3" x14ac:dyDescent="0.25">
      <c r="A1231" s="2" t="s">
        <v>16</v>
      </c>
      <c r="B1231" t="s">
        <v>77</v>
      </c>
      <c r="C1231" s="2" t="s">
        <v>78</v>
      </c>
    </row>
    <row r="1232" spans="1:3" x14ac:dyDescent="0.25">
      <c r="A1232" s="2" t="s">
        <v>17</v>
      </c>
      <c r="B1232" t="s">
        <v>40</v>
      </c>
      <c r="C1232" t="b">
        <v>0</v>
      </c>
    </row>
    <row r="1233" spans="1:3" x14ac:dyDescent="0.25">
      <c r="A1233" s="2" t="s">
        <v>17</v>
      </c>
      <c r="B1233" t="s">
        <v>41</v>
      </c>
      <c r="C1233" s="2" t="s">
        <v>51</v>
      </c>
    </row>
    <row r="1234" spans="1:3" x14ac:dyDescent="0.25">
      <c r="A1234" s="2" t="s">
        <v>17</v>
      </c>
      <c r="B1234" t="s">
        <v>76</v>
      </c>
      <c r="C1234" s="2" t="s">
        <v>507</v>
      </c>
    </row>
    <row r="1235" spans="1:3" x14ac:dyDescent="0.25">
      <c r="A1235" s="2" t="s">
        <v>17</v>
      </c>
      <c r="B1235" t="s">
        <v>44</v>
      </c>
      <c r="C1235">
        <v>5.43</v>
      </c>
    </row>
    <row r="1236" spans="1:3" x14ac:dyDescent="0.25">
      <c r="A1236" s="2" t="s">
        <v>18</v>
      </c>
      <c r="B1236" t="s">
        <v>40</v>
      </c>
      <c r="C1236" t="b">
        <v>0</v>
      </c>
    </row>
    <row r="1237" spans="1:3" x14ac:dyDescent="0.25">
      <c r="A1237" s="2" t="s">
        <v>18</v>
      </c>
      <c r="B1237" t="s">
        <v>41</v>
      </c>
      <c r="C1237" s="2" t="s">
        <v>52</v>
      </c>
    </row>
    <row r="1238" spans="1:3" x14ac:dyDescent="0.25">
      <c r="A1238" s="2" t="s">
        <v>18</v>
      </c>
      <c r="B1238" t="s">
        <v>76</v>
      </c>
      <c r="C1238" s="2" t="s">
        <v>508</v>
      </c>
    </row>
    <row r="1239" spans="1:3" x14ac:dyDescent="0.25">
      <c r="A1239" s="2" t="s">
        <v>18</v>
      </c>
      <c r="B1239" t="s">
        <v>44</v>
      </c>
      <c r="C1239">
        <v>4.57</v>
      </c>
    </row>
    <row r="1240" spans="1:3" x14ac:dyDescent="0.25">
      <c r="A1240" s="2" t="s">
        <v>19</v>
      </c>
      <c r="B1240" t="s">
        <v>40</v>
      </c>
      <c r="C1240" t="b">
        <v>0</v>
      </c>
    </row>
    <row r="1241" spans="1:3" x14ac:dyDescent="0.25">
      <c r="A1241" s="2" t="s">
        <v>19</v>
      </c>
      <c r="B1241" t="s">
        <v>41</v>
      </c>
      <c r="C1241" s="2" t="s">
        <v>53</v>
      </c>
    </row>
    <row r="1242" spans="1:3" x14ac:dyDescent="0.25">
      <c r="A1242" s="2" t="s">
        <v>19</v>
      </c>
      <c r="B1242" t="s">
        <v>76</v>
      </c>
      <c r="C1242" s="2" t="s">
        <v>509</v>
      </c>
    </row>
    <row r="1243" spans="1:3" x14ac:dyDescent="0.25">
      <c r="A1243" s="2" t="s">
        <v>19</v>
      </c>
      <c r="B1243" t="s">
        <v>44</v>
      </c>
      <c r="C1243">
        <v>5.86</v>
      </c>
    </row>
    <row r="1244" spans="1:3" x14ac:dyDescent="0.25">
      <c r="A1244" s="2" t="s">
        <v>19</v>
      </c>
      <c r="B1244" t="s">
        <v>77</v>
      </c>
      <c r="C1244" s="2" t="s">
        <v>180</v>
      </c>
    </row>
    <row r="1245" spans="1:3" x14ac:dyDescent="0.25">
      <c r="A1245" s="2" t="s">
        <v>20</v>
      </c>
      <c r="B1245" t="s">
        <v>40</v>
      </c>
      <c r="C1245" t="b">
        <v>0</v>
      </c>
    </row>
    <row r="1246" spans="1:3" x14ac:dyDescent="0.25">
      <c r="A1246" s="2" t="s">
        <v>20</v>
      </c>
      <c r="B1246" t="s">
        <v>41</v>
      </c>
      <c r="C1246" s="2" t="s">
        <v>54</v>
      </c>
    </row>
    <row r="1247" spans="1:3" x14ac:dyDescent="0.25">
      <c r="A1247" s="2" t="s">
        <v>20</v>
      </c>
      <c r="B1247" t="s">
        <v>76</v>
      </c>
      <c r="C1247" s="2" t="s">
        <v>510</v>
      </c>
    </row>
    <row r="1248" spans="1:3" x14ac:dyDescent="0.25">
      <c r="A1248" s="2" t="s">
        <v>20</v>
      </c>
      <c r="B1248" t="s">
        <v>44</v>
      </c>
      <c r="C1248">
        <v>6.86</v>
      </c>
    </row>
    <row r="1249" spans="1:3" x14ac:dyDescent="0.25">
      <c r="A1249" s="2" t="s">
        <v>20</v>
      </c>
      <c r="B1249" t="s">
        <v>77</v>
      </c>
      <c r="C1249" s="2" t="s">
        <v>181</v>
      </c>
    </row>
    <row r="1250" spans="1:3" x14ac:dyDescent="0.25">
      <c r="A1250" s="2" t="s">
        <v>21</v>
      </c>
      <c r="B1250" t="s">
        <v>40</v>
      </c>
      <c r="C1250" t="b">
        <v>0</v>
      </c>
    </row>
    <row r="1251" spans="1:3" x14ac:dyDescent="0.25">
      <c r="A1251" s="2" t="s">
        <v>21</v>
      </c>
      <c r="B1251" t="s">
        <v>41</v>
      </c>
      <c r="C1251" s="2" t="s">
        <v>55</v>
      </c>
    </row>
    <row r="1252" spans="1:3" x14ac:dyDescent="0.25">
      <c r="A1252" s="2" t="s">
        <v>21</v>
      </c>
      <c r="B1252" t="s">
        <v>76</v>
      </c>
      <c r="C1252" s="2" t="s">
        <v>511</v>
      </c>
    </row>
    <row r="1253" spans="1:3" x14ac:dyDescent="0.25">
      <c r="A1253" s="2" t="s">
        <v>21</v>
      </c>
      <c r="B1253" t="s">
        <v>44</v>
      </c>
      <c r="C1253">
        <v>13.86</v>
      </c>
    </row>
    <row r="1254" spans="1:3" x14ac:dyDescent="0.25">
      <c r="A1254" s="2" t="s">
        <v>21</v>
      </c>
      <c r="B1254" t="s">
        <v>77</v>
      </c>
      <c r="C1254" s="2" t="s">
        <v>151</v>
      </c>
    </row>
    <row r="1255" spans="1:3" x14ac:dyDescent="0.25">
      <c r="A1255" s="2" t="s">
        <v>22</v>
      </c>
      <c r="B1255" t="s">
        <v>40</v>
      </c>
      <c r="C1255" t="b">
        <v>0</v>
      </c>
    </row>
    <row r="1256" spans="1:3" x14ac:dyDescent="0.25">
      <c r="A1256" s="2" t="s">
        <v>22</v>
      </c>
      <c r="B1256" t="s">
        <v>41</v>
      </c>
      <c r="C1256" s="2" t="s">
        <v>56</v>
      </c>
    </row>
    <row r="1257" spans="1:3" x14ac:dyDescent="0.25">
      <c r="A1257" s="2" t="s">
        <v>22</v>
      </c>
      <c r="B1257" t="s">
        <v>76</v>
      </c>
      <c r="C1257" s="2" t="s">
        <v>512</v>
      </c>
    </row>
    <row r="1258" spans="1:3" x14ac:dyDescent="0.25">
      <c r="A1258" s="2" t="s">
        <v>22</v>
      </c>
      <c r="B1258" t="s">
        <v>44</v>
      </c>
      <c r="C1258">
        <v>5.86</v>
      </c>
    </row>
    <row r="1259" spans="1:3" x14ac:dyDescent="0.25">
      <c r="A1259" s="2" t="s">
        <v>22</v>
      </c>
      <c r="B1259" t="s">
        <v>77</v>
      </c>
      <c r="C1259" s="2" t="s">
        <v>180</v>
      </c>
    </row>
    <row r="1260" spans="1:3" x14ac:dyDescent="0.25">
      <c r="A1260" s="2" t="s">
        <v>23</v>
      </c>
      <c r="B1260" t="s">
        <v>40</v>
      </c>
      <c r="C1260" t="b">
        <v>0</v>
      </c>
    </row>
    <row r="1261" spans="1:3" x14ac:dyDescent="0.25">
      <c r="A1261" s="2" t="s">
        <v>23</v>
      </c>
      <c r="B1261" t="s">
        <v>41</v>
      </c>
      <c r="C1261" s="2" t="s">
        <v>57</v>
      </c>
    </row>
    <row r="1262" spans="1:3" x14ac:dyDescent="0.25">
      <c r="A1262" s="2" t="s">
        <v>23</v>
      </c>
      <c r="B1262" t="s">
        <v>76</v>
      </c>
      <c r="C1262" s="2" t="s">
        <v>513</v>
      </c>
    </row>
    <row r="1263" spans="1:3" x14ac:dyDescent="0.25">
      <c r="A1263" s="2" t="s">
        <v>23</v>
      </c>
      <c r="B1263" t="s">
        <v>44</v>
      </c>
      <c r="C1263">
        <v>5.86</v>
      </c>
    </row>
    <row r="1264" spans="1:3" x14ac:dyDescent="0.25">
      <c r="A1264" s="2" t="s">
        <v>23</v>
      </c>
      <c r="B1264" t="s">
        <v>77</v>
      </c>
      <c r="C1264" s="2" t="s">
        <v>180</v>
      </c>
    </row>
    <row r="1265" spans="1:3" x14ac:dyDescent="0.25">
      <c r="A1265" s="2" t="s">
        <v>24</v>
      </c>
      <c r="B1265" t="s">
        <v>40</v>
      </c>
      <c r="C1265" t="b">
        <v>0</v>
      </c>
    </row>
    <row r="1266" spans="1:3" x14ac:dyDescent="0.25">
      <c r="A1266" s="2" t="s">
        <v>24</v>
      </c>
      <c r="B1266" t="s">
        <v>41</v>
      </c>
      <c r="C1266" s="2" t="s">
        <v>58</v>
      </c>
    </row>
    <row r="1267" spans="1:3" x14ac:dyDescent="0.25">
      <c r="A1267" s="2" t="s">
        <v>24</v>
      </c>
      <c r="B1267" t="s">
        <v>76</v>
      </c>
      <c r="C1267" s="2" t="s">
        <v>514</v>
      </c>
    </row>
    <row r="1268" spans="1:3" x14ac:dyDescent="0.25">
      <c r="A1268" s="2" t="s">
        <v>24</v>
      </c>
      <c r="B1268" t="s">
        <v>44</v>
      </c>
      <c r="C1268">
        <v>5.86</v>
      </c>
    </row>
    <row r="1269" spans="1:3" x14ac:dyDescent="0.25">
      <c r="A1269" s="2" t="s">
        <v>24</v>
      </c>
      <c r="B1269" t="s">
        <v>77</v>
      </c>
      <c r="C1269" s="2" t="s">
        <v>180</v>
      </c>
    </row>
    <row r="1270" spans="1:3" x14ac:dyDescent="0.25">
      <c r="A1270" s="2" t="s">
        <v>25</v>
      </c>
      <c r="B1270" t="s">
        <v>40</v>
      </c>
      <c r="C1270" t="b">
        <v>0</v>
      </c>
    </row>
    <row r="1271" spans="1:3" x14ac:dyDescent="0.25">
      <c r="A1271" s="2" t="s">
        <v>25</v>
      </c>
      <c r="B1271" t="s">
        <v>41</v>
      </c>
      <c r="C1271" s="2" t="s">
        <v>59</v>
      </c>
    </row>
    <row r="1272" spans="1:3" x14ac:dyDescent="0.25">
      <c r="A1272" s="2" t="s">
        <v>25</v>
      </c>
      <c r="B1272" t="s">
        <v>76</v>
      </c>
      <c r="C1272" s="2" t="s">
        <v>515</v>
      </c>
    </row>
    <row r="1273" spans="1:3" x14ac:dyDescent="0.25">
      <c r="A1273" s="2" t="s">
        <v>25</v>
      </c>
      <c r="B1273" t="s">
        <v>44</v>
      </c>
      <c r="C1273">
        <v>7.29</v>
      </c>
    </row>
    <row r="1274" spans="1:3" x14ac:dyDescent="0.25">
      <c r="A1274" s="2" t="s">
        <v>25</v>
      </c>
      <c r="B1274" t="s">
        <v>77</v>
      </c>
      <c r="C1274" s="2" t="s">
        <v>182</v>
      </c>
    </row>
    <row r="1275" spans="1:3" x14ac:dyDescent="0.25">
      <c r="A1275" s="2" t="s">
        <v>26</v>
      </c>
      <c r="B1275" t="s">
        <v>40</v>
      </c>
      <c r="C1275" t="b">
        <v>0</v>
      </c>
    </row>
    <row r="1276" spans="1:3" x14ac:dyDescent="0.25">
      <c r="A1276" s="2" t="s">
        <v>26</v>
      </c>
      <c r="B1276" t="s">
        <v>41</v>
      </c>
      <c r="C1276" s="2" t="s">
        <v>60</v>
      </c>
    </row>
    <row r="1277" spans="1:3" x14ac:dyDescent="0.25">
      <c r="A1277" s="2" t="s">
        <v>26</v>
      </c>
      <c r="B1277" t="s">
        <v>76</v>
      </c>
      <c r="C1277" s="2" t="s">
        <v>516</v>
      </c>
    </row>
    <row r="1278" spans="1:3" x14ac:dyDescent="0.25">
      <c r="A1278" s="2" t="s">
        <v>26</v>
      </c>
      <c r="B1278" t="s">
        <v>44</v>
      </c>
      <c r="C1278">
        <v>7.57</v>
      </c>
    </row>
    <row r="1279" spans="1:3" x14ac:dyDescent="0.25">
      <c r="A1279" s="2" t="s">
        <v>26</v>
      </c>
      <c r="B1279" t="s">
        <v>77</v>
      </c>
      <c r="C1279" s="2" t="s">
        <v>182</v>
      </c>
    </row>
    <row r="1280" spans="1:3" x14ac:dyDescent="0.25">
      <c r="A1280" s="2" t="s">
        <v>27</v>
      </c>
      <c r="B1280" t="s">
        <v>40</v>
      </c>
      <c r="C1280" t="b">
        <v>0</v>
      </c>
    </row>
    <row r="1281" spans="1:3" x14ac:dyDescent="0.25">
      <c r="A1281" s="2" t="s">
        <v>27</v>
      </c>
      <c r="B1281" t="s">
        <v>41</v>
      </c>
      <c r="C1281" s="2" t="s">
        <v>61</v>
      </c>
    </row>
    <row r="1282" spans="1:3" x14ac:dyDescent="0.25">
      <c r="A1282" s="2" t="s">
        <v>27</v>
      </c>
      <c r="B1282" t="s">
        <v>76</v>
      </c>
      <c r="C1282" s="2" t="s">
        <v>517</v>
      </c>
    </row>
    <row r="1283" spans="1:3" x14ac:dyDescent="0.25">
      <c r="A1283" s="2" t="s">
        <v>27</v>
      </c>
      <c r="B1283" t="s">
        <v>44</v>
      </c>
      <c r="C1283">
        <v>20.71</v>
      </c>
    </row>
    <row r="1284" spans="1:3" x14ac:dyDescent="0.25">
      <c r="A1284" s="2" t="s">
        <v>27</v>
      </c>
      <c r="B1284" t="s">
        <v>77</v>
      </c>
      <c r="C1284" s="2" t="s">
        <v>79</v>
      </c>
    </row>
    <row r="1285" spans="1:3" x14ac:dyDescent="0.25">
      <c r="A1285" s="2" t="s">
        <v>28</v>
      </c>
      <c r="B1285" t="s">
        <v>40</v>
      </c>
      <c r="C1285" t="b">
        <v>0</v>
      </c>
    </row>
    <row r="1286" spans="1:3" x14ac:dyDescent="0.25">
      <c r="A1286" s="2" t="s">
        <v>28</v>
      </c>
      <c r="B1286" t="s">
        <v>41</v>
      </c>
      <c r="C1286" s="2" t="s">
        <v>62</v>
      </c>
    </row>
    <row r="1287" spans="1:3" x14ac:dyDescent="0.25">
      <c r="A1287" s="2" t="s">
        <v>28</v>
      </c>
      <c r="B1287" t="s">
        <v>76</v>
      </c>
      <c r="C1287" s="2" t="s">
        <v>518</v>
      </c>
    </row>
    <row r="1288" spans="1:3" x14ac:dyDescent="0.25">
      <c r="A1288" s="2" t="s">
        <v>28</v>
      </c>
      <c r="B1288" t="s">
        <v>44</v>
      </c>
      <c r="C1288">
        <v>16.14</v>
      </c>
    </row>
    <row r="1289" spans="1:3" x14ac:dyDescent="0.25">
      <c r="A1289" s="2" t="s">
        <v>21</v>
      </c>
      <c r="B1289" t="s">
        <v>184</v>
      </c>
      <c r="C1289" s="2" t="s">
        <v>478</v>
      </c>
    </row>
    <row r="1290" spans="1:3" x14ac:dyDescent="0.25">
      <c r="A1290" s="2" t="s">
        <v>21</v>
      </c>
      <c r="B1290" t="s">
        <v>186</v>
      </c>
      <c r="C1290">
        <v>3</v>
      </c>
    </row>
    <row r="1291" spans="1:3" x14ac:dyDescent="0.25">
      <c r="A1291" s="2" t="s">
        <v>21</v>
      </c>
      <c r="B1291" t="s">
        <v>187</v>
      </c>
      <c r="C1291">
        <v>13</v>
      </c>
    </row>
    <row r="1292" spans="1:3" x14ac:dyDescent="0.25">
      <c r="A1292" s="2" t="s">
        <v>21</v>
      </c>
      <c r="B1292" t="s">
        <v>188</v>
      </c>
      <c r="C1292">
        <v>1</v>
      </c>
    </row>
    <row r="1293" spans="1:3" x14ac:dyDescent="0.25">
      <c r="A1293" s="2" t="s">
        <v>21</v>
      </c>
      <c r="B1293" t="s">
        <v>189</v>
      </c>
      <c r="C1293">
        <v>-5.2631578947368397E-2</v>
      </c>
    </row>
    <row r="1294" spans="1:3" x14ac:dyDescent="0.25">
      <c r="A1294" s="2" t="s">
        <v>21</v>
      </c>
      <c r="B1294" t="s">
        <v>190</v>
      </c>
      <c r="C1294">
        <v>7039480</v>
      </c>
    </row>
    <row r="1295" spans="1:3" x14ac:dyDescent="0.25">
      <c r="A1295" s="2" t="s">
        <v>21</v>
      </c>
      <c r="B1295" t="s">
        <v>191</v>
      </c>
      <c r="C1295">
        <v>5</v>
      </c>
    </row>
    <row r="1296" spans="1:3" x14ac:dyDescent="0.25">
      <c r="A1296" s="2" t="s">
        <v>21</v>
      </c>
      <c r="B1296" t="s">
        <v>192</v>
      </c>
      <c r="C1296">
        <v>50</v>
      </c>
    </row>
    <row r="1297" spans="1:3" x14ac:dyDescent="0.25">
      <c r="A1297" s="2" t="s">
        <v>21</v>
      </c>
      <c r="B1297" t="s">
        <v>193</v>
      </c>
      <c r="C1297">
        <v>8711167</v>
      </c>
    </row>
    <row r="1298" spans="1:3" x14ac:dyDescent="0.25">
      <c r="A1298" s="2" t="s">
        <v>21</v>
      </c>
      <c r="B1298" t="s">
        <v>194</v>
      </c>
      <c r="C1298">
        <v>2</v>
      </c>
    </row>
    <row r="1299" spans="1:3" x14ac:dyDescent="0.25">
      <c r="A1299" s="2" t="s">
        <v>21</v>
      </c>
      <c r="B1299" t="s">
        <v>195</v>
      </c>
      <c r="C1299">
        <v>3.65853658536585E-2</v>
      </c>
    </row>
    <row r="1300" spans="1:3" x14ac:dyDescent="0.25">
      <c r="A1300" s="2" t="s">
        <v>21</v>
      </c>
      <c r="B1300" t="s">
        <v>196</v>
      </c>
      <c r="C1300">
        <v>8109667</v>
      </c>
    </row>
    <row r="1301" spans="1:3" x14ac:dyDescent="0.25">
      <c r="A1301" s="2" t="s">
        <v>25</v>
      </c>
      <c r="B1301" t="s">
        <v>184</v>
      </c>
      <c r="C1301" s="2" t="s">
        <v>202</v>
      </c>
    </row>
    <row r="1302" spans="1:3" x14ac:dyDescent="0.25">
      <c r="A1302" s="2" t="s">
        <v>25</v>
      </c>
      <c r="B1302" t="s">
        <v>186</v>
      </c>
      <c r="C1302">
        <v>3</v>
      </c>
    </row>
    <row r="1303" spans="1:3" x14ac:dyDescent="0.25">
      <c r="A1303" s="2" t="s">
        <v>25</v>
      </c>
      <c r="B1303" t="s">
        <v>187</v>
      </c>
      <c r="C1303">
        <v>11</v>
      </c>
    </row>
    <row r="1304" spans="1:3" x14ac:dyDescent="0.25">
      <c r="A1304" s="2" t="s">
        <v>25</v>
      </c>
      <c r="B1304" t="s">
        <v>188</v>
      </c>
      <c r="C1304">
        <v>1</v>
      </c>
    </row>
    <row r="1305" spans="1:3" x14ac:dyDescent="0.25">
      <c r="A1305" s="2" t="s">
        <v>25</v>
      </c>
      <c r="B1305" t="s">
        <v>189</v>
      </c>
      <c r="C1305">
        <v>24</v>
      </c>
    </row>
    <row r="1306" spans="1:3" x14ac:dyDescent="0.25">
      <c r="A1306" s="2" t="s">
        <v>25</v>
      </c>
      <c r="B1306" t="s">
        <v>190</v>
      </c>
      <c r="C1306">
        <v>7039480</v>
      </c>
    </row>
    <row r="1307" spans="1:3" x14ac:dyDescent="0.25">
      <c r="A1307" s="2" t="s">
        <v>25</v>
      </c>
      <c r="B1307" t="s">
        <v>191</v>
      </c>
      <c r="C1307">
        <v>5</v>
      </c>
    </row>
    <row r="1308" spans="1:3" x14ac:dyDescent="0.25">
      <c r="A1308" s="2" t="s">
        <v>25</v>
      </c>
      <c r="B1308" t="s">
        <v>192</v>
      </c>
      <c r="C1308">
        <v>50</v>
      </c>
    </row>
    <row r="1309" spans="1:3" x14ac:dyDescent="0.25">
      <c r="A1309" s="2" t="s">
        <v>25</v>
      </c>
      <c r="B1309" t="s">
        <v>193</v>
      </c>
      <c r="C1309">
        <v>8711167</v>
      </c>
    </row>
    <row r="1310" spans="1:3" x14ac:dyDescent="0.25">
      <c r="A1310" s="2" t="s">
        <v>25</v>
      </c>
      <c r="B1310" t="s">
        <v>194</v>
      </c>
      <c r="C1310">
        <v>2</v>
      </c>
    </row>
    <row r="1311" spans="1:3" x14ac:dyDescent="0.25">
      <c r="A1311" s="2" t="s">
        <v>25</v>
      </c>
      <c r="B1311" t="s">
        <v>195</v>
      </c>
      <c r="C1311">
        <v>1395</v>
      </c>
    </row>
    <row r="1312" spans="1:3" x14ac:dyDescent="0.25">
      <c r="A1312" s="2" t="s">
        <v>25</v>
      </c>
      <c r="B1312" t="s">
        <v>196</v>
      </c>
      <c r="C1312">
        <v>8109667</v>
      </c>
    </row>
    <row r="1313" spans="1:3" x14ac:dyDescent="0.25">
      <c r="A1313" s="2" t="s">
        <v>26</v>
      </c>
      <c r="B1313" t="s">
        <v>184</v>
      </c>
      <c r="C1313" s="2" t="s">
        <v>203</v>
      </c>
    </row>
    <row r="1314" spans="1:3" x14ac:dyDescent="0.25">
      <c r="A1314" s="2" t="s">
        <v>26</v>
      </c>
      <c r="B1314" t="s">
        <v>186</v>
      </c>
      <c r="C1314">
        <v>3</v>
      </c>
    </row>
    <row r="1315" spans="1:3" x14ac:dyDescent="0.25">
      <c r="A1315" s="2" t="s">
        <v>26</v>
      </c>
      <c r="B1315" t="s">
        <v>187</v>
      </c>
      <c r="C1315">
        <v>12</v>
      </c>
    </row>
    <row r="1316" spans="1:3" x14ac:dyDescent="0.25">
      <c r="A1316" s="2" t="s">
        <v>26</v>
      </c>
      <c r="B1316" t="s">
        <v>188</v>
      </c>
      <c r="C1316">
        <v>1</v>
      </c>
    </row>
    <row r="1317" spans="1:3" x14ac:dyDescent="0.25">
      <c r="A1317" s="2" t="s">
        <v>26</v>
      </c>
      <c r="B1317" t="s">
        <v>189</v>
      </c>
      <c r="C1317">
        <v>3872</v>
      </c>
    </row>
    <row r="1318" spans="1:3" x14ac:dyDescent="0.25">
      <c r="A1318" s="2" t="s">
        <v>26</v>
      </c>
      <c r="B1318" t="s">
        <v>190</v>
      </c>
      <c r="C1318">
        <v>7039480</v>
      </c>
    </row>
    <row r="1319" spans="1:3" x14ac:dyDescent="0.25">
      <c r="A1319" s="2" t="s">
        <v>26</v>
      </c>
      <c r="B1319" t="s">
        <v>191</v>
      </c>
      <c r="C1319">
        <v>5</v>
      </c>
    </row>
    <row r="1320" spans="1:3" x14ac:dyDescent="0.25">
      <c r="A1320" s="2" t="s">
        <v>26</v>
      </c>
      <c r="B1320" t="s">
        <v>192</v>
      </c>
      <c r="C1320">
        <v>50</v>
      </c>
    </row>
    <row r="1321" spans="1:3" x14ac:dyDescent="0.25">
      <c r="A1321" s="2" t="s">
        <v>26</v>
      </c>
      <c r="B1321" t="s">
        <v>193</v>
      </c>
      <c r="C1321">
        <v>8711167</v>
      </c>
    </row>
    <row r="1322" spans="1:3" x14ac:dyDescent="0.25">
      <c r="A1322" s="2" t="s">
        <v>26</v>
      </c>
      <c r="B1322" t="s">
        <v>194</v>
      </c>
      <c r="C1322">
        <v>2</v>
      </c>
    </row>
    <row r="1323" spans="1:3" x14ac:dyDescent="0.25">
      <c r="A1323" s="2" t="s">
        <v>26</v>
      </c>
      <c r="B1323" t="s">
        <v>195</v>
      </c>
      <c r="C1323">
        <v>45067</v>
      </c>
    </row>
    <row r="1324" spans="1:3" x14ac:dyDescent="0.25">
      <c r="A1324" s="2" t="s">
        <v>26</v>
      </c>
      <c r="B1324" t="s">
        <v>196</v>
      </c>
      <c r="C1324">
        <v>8109667</v>
      </c>
    </row>
    <row r="1325" spans="1:3" x14ac:dyDescent="0.25">
      <c r="A1325" s="2" t="s">
        <v>32</v>
      </c>
      <c r="B1325" t="s">
        <v>63</v>
      </c>
      <c r="C1325" t="b">
        <v>0</v>
      </c>
    </row>
    <row r="1326" spans="1:3" x14ac:dyDescent="0.25">
      <c r="A1326" s="2" t="s">
        <v>32</v>
      </c>
      <c r="B1326" t="s">
        <v>64</v>
      </c>
      <c r="C1326" t="b">
        <v>1</v>
      </c>
    </row>
    <row r="1327" spans="1:3" x14ac:dyDescent="0.25">
      <c r="A1327" s="2" t="s">
        <v>32</v>
      </c>
      <c r="B1327" t="s">
        <v>65</v>
      </c>
      <c r="C1327" t="b">
        <v>1</v>
      </c>
    </row>
    <row r="1328" spans="1:3" x14ac:dyDescent="0.25">
      <c r="A1328" s="2" t="s">
        <v>32</v>
      </c>
      <c r="B1328" t="s">
        <v>66</v>
      </c>
      <c r="C1328">
        <v>0</v>
      </c>
    </row>
    <row r="1329" spans="1:11" x14ac:dyDescent="0.25">
      <c r="A1329" s="2" t="s">
        <v>32</v>
      </c>
      <c r="B1329" t="s">
        <v>67</v>
      </c>
      <c r="C1329">
        <v>1</v>
      </c>
    </row>
    <row r="1330" spans="1:11" x14ac:dyDescent="0.25">
      <c r="A1330" s="2" t="s">
        <v>32</v>
      </c>
      <c r="B1330" t="s">
        <v>68</v>
      </c>
      <c r="C1330">
        <v>1</v>
      </c>
    </row>
    <row r="1331" spans="1:11" x14ac:dyDescent="0.25">
      <c r="A1331" s="2" t="s">
        <v>32</v>
      </c>
      <c r="B1331" t="s">
        <v>69</v>
      </c>
      <c r="C1331">
        <v>100</v>
      </c>
    </row>
    <row r="1332" spans="1:11" x14ac:dyDescent="0.25">
      <c r="A1332" t="s">
        <v>501</v>
      </c>
    </row>
    <row r="1333" spans="1:11" x14ac:dyDescent="0.25">
      <c r="A1333" t="s">
        <v>229</v>
      </c>
    </row>
    <row r="1334" spans="1:11" x14ac:dyDescent="0.25">
      <c r="D1334" t="s">
        <v>14</v>
      </c>
      <c r="E1334" t="s">
        <v>230</v>
      </c>
      <c r="G1334" t="s">
        <v>231</v>
      </c>
      <c r="J1334" t="s">
        <v>232</v>
      </c>
      <c r="K1334" t="s">
        <v>233</v>
      </c>
    </row>
    <row r="1335" spans="1:11" x14ac:dyDescent="0.25">
      <c r="D1335" t="s">
        <v>70</v>
      </c>
      <c r="E1335" t="s">
        <v>234</v>
      </c>
      <c r="G1335" t="s">
        <v>231</v>
      </c>
      <c r="J1335" t="s">
        <v>232</v>
      </c>
      <c r="K1335" t="s">
        <v>235</v>
      </c>
    </row>
    <row r="1336" spans="1:11" x14ac:dyDescent="0.25">
      <c r="D1336" t="s">
        <v>71</v>
      </c>
      <c r="E1336" t="s">
        <v>236</v>
      </c>
      <c r="G1336" t="s">
        <v>231</v>
      </c>
      <c r="J1336" t="s">
        <v>232</v>
      </c>
      <c r="K1336" t="s">
        <v>235</v>
      </c>
    </row>
    <row r="1337" spans="1:11" x14ac:dyDescent="0.25">
      <c r="D1337" t="s">
        <v>19</v>
      </c>
      <c r="E1337" t="s">
        <v>237</v>
      </c>
      <c r="G1337" t="s">
        <v>231</v>
      </c>
      <c r="J1337" t="s">
        <v>232</v>
      </c>
      <c r="K1337" t="s">
        <v>238</v>
      </c>
    </row>
    <row r="1338" spans="1:11" x14ac:dyDescent="0.25">
      <c r="D1338" t="s">
        <v>20</v>
      </c>
      <c r="E1338" t="s">
        <v>239</v>
      </c>
      <c r="G1338" t="s">
        <v>231</v>
      </c>
      <c r="J1338" t="s">
        <v>232</v>
      </c>
      <c r="K1338" t="s">
        <v>240</v>
      </c>
    </row>
    <row r="1339" spans="1:11" x14ac:dyDescent="0.25">
      <c r="D1339" t="s">
        <v>21</v>
      </c>
      <c r="E1339" t="s">
        <v>241</v>
      </c>
      <c r="G1339" t="s">
        <v>231</v>
      </c>
      <c r="J1339" t="s">
        <v>232</v>
      </c>
      <c r="K1339" t="s">
        <v>235</v>
      </c>
    </row>
    <row r="1340" spans="1:11" x14ac:dyDescent="0.25">
      <c r="D1340" t="s">
        <v>72</v>
      </c>
      <c r="E1340" t="s">
        <v>242</v>
      </c>
      <c r="G1340" t="s">
        <v>231</v>
      </c>
      <c r="J1340" t="s">
        <v>232</v>
      </c>
      <c r="K1340" t="s">
        <v>238</v>
      </c>
    </row>
    <row r="1341" spans="1:11" x14ac:dyDescent="0.25">
      <c r="D1341" t="s">
        <v>73</v>
      </c>
      <c r="E1341" t="s">
        <v>243</v>
      </c>
      <c r="G1341" t="s">
        <v>231</v>
      </c>
      <c r="J1341" t="s">
        <v>232</v>
      </c>
      <c r="K1341" t="s">
        <v>238</v>
      </c>
    </row>
    <row r="1342" spans="1:11" x14ac:dyDescent="0.25">
      <c r="D1342" t="s">
        <v>74</v>
      </c>
      <c r="E1342" t="s">
        <v>244</v>
      </c>
      <c r="G1342" t="s">
        <v>231</v>
      </c>
      <c r="J1342" t="s">
        <v>232</v>
      </c>
      <c r="K1342" t="s">
        <v>245</v>
      </c>
    </row>
    <row r="1343" spans="1:11" x14ac:dyDescent="0.25">
      <c r="D1343" t="s">
        <v>25</v>
      </c>
      <c r="E1343" t="s">
        <v>246</v>
      </c>
      <c r="G1343" t="s">
        <v>231</v>
      </c>
      <c r="J1343" t="s">
        <v>232</v>
      </c>
      <c r="K1343" t="s">
        <v>240</v>
      </c>
    </row>
    <row r="1344" spans="1:11" x14ac:dyDescent="0.25">
      <c r="D1344" t="s">
        <v>27</v>
      </c>
      <c r="E1344" t="s">
        <v>247</v>
      </c>
      <c r="G1344" t="s">
        <v>231</v>
      </c>
      <c r="J1344" t="s">
        <v>232</v>
      </c>
      <c r="K1344" t="s">
        <v>248</v>
      </c>
    </row>
    <row r="1345" spans="1:11" x14ac:dyDescent="0.25">
      <c r="D1345" t="s">
        <v>28</v>
      </c>
      <c r="E1345" t="s">
        <v>249</v>
      </c>
      <c r="G1345" t="s">
        <v>231</v>
      </c>
      <c r="J1345" t="s">
        <v>232</v>
      </c>
      <c r="K1345" t="s">
        <v>250</v>
      </c>
    </row>
    <row r="1346" spans="1:11" x14ac:dyDescent="0.25">
      <c r="A1346" t="s">
        <v>251</v>
      </c>
    </row>
    <row r="1347" spans="1:11" x14ac:dyDescent="0.25">
      <c r="A1347" t="s">
        <v>29</v>
      </c>
    </row>
    <row r="1348" spans="1:11" x14ac:dyDescent="0.25">
      <c r="A1348" t="s">
        <v>30</v>
      </c>
      <c r="B1348" t="s">
        <v>220</v>
      </c>
      <c r="C1348" t="b">
        <v>0</v>
      </c>
      <c r="D1348" t="s">
        <v>221</v>
      </c>
      <c r="E1348" t="s">
        <v>222</v>
      </c>
    </row>
    <row r="1349" spans="1:11" x14ac:dyDescent="0.25">
      <c r="A1349" t="s">
        <v>178</v>
      </c>
      <c r="B1349" t="s">
        <v>220</v>
      </c>
      <c r="C1349" t="b">
        <v>1</v>
      </c>
      <c r="D1349" t="s">
        <v>221</v>
      </c>
      <c r="E1349" t="s">
        <v>222</v>
      </c>
    </row>
    <row r="1350" spans="1:11" x14ac:dyDescent="0.25">
      <c r="A1350" t="s">
        <v>177</v>
      </c>
      <c r="B1350" t="s">
        <v>220</v>
      </c>
      <c r="C1350" t="b">
        <v>1</v>
      </c>
      <c r="D1350" t="s">
        <v>227</v>
      </c>
      <c r="E1350" t="s">
        <v>222</v>
      </c>
    </row>
    <row r="1351" spans="1:11" x14ac:dyDescent="0.25">
      <c r="A1351" t="s">
        <v>179</v>
      </c>
      <c r="B1351" t="s">
        <v>220</v>
      </c>
      <c r="C1351" t="b">
        <v>1</v>
      </c>
      <c r="D1351" t="s">
        <v>228</v>
      </c>
      <c r="E1351" t="s">
        <v>222</v>
      </c>
    </row>
    <row r="1352" spans="1:11" x14ac:dyDescent="0.25">
      <c r="A1352" t="s">
        <v>170</v>
      </c>
      <c r="B1352" t="s">
        <v>220</v>
      </c>
      <c r="C1352" t="b">
        <v>1</v>
      </c>
      <c r="D1352" t="s">
        <v>223</v>
      </c>
      <c r="E1352" t="s">
        <v>222</v>
      </c>
    </row>
    <row r="1353" spans="1:11" x14ac:dyDescent="0.25">
      <c r="A1353" t="s">
        <v>166</v>
      </c>
      <c r="B1353" t="s">
        <v>220</v>
      </c>
      <c r="C1353" t="b">
        <v>1</v>
      </c>
      <c r="D1353" t="s">
        <v>224</v>
      </c>
      <c r="E1353" t="s">
        <v>222</v>
      </c>
    </row>
    <row r="1354" spans="1:11" x14ac:dyDescent="0.25">
      <c r="A1354" t="s">
        <v>176</v>
      </c>
      <c r="B1354" t="s">
        <v>220</v>
      </c>
      <c r="C1354" t="b">
        <v>1</v>
      </c>
      <c r="D1354" t="s">
        <v>226</v>
      </c>
      <c r="E1354" t="s">
        <v>222</v>
      </c>
    </row>
    <row r="1355" spans="1:11" x14ac:dyDescent="0.25">
      <c r="A1355" t="s">
        <v>175</v>
      </c>
      <c r="B1355" t="s">
        <v>220</v>
      </c>
      <c r="C1355" t="b">
        <v>1</v>
      </c>
      <c r="D1355" t="s">
        <v>225</v>
      </c>
      <c r="E1355" t="s">
        <v>222</v>
      </c>
    </row>
    <row r="1356" spans="1:11" x14ac:dyDescent="0.25">
      <c r="A1356" t="s">
        <v>31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f>RTD("gartle.rtd",,"rtd-mysql","quotes_yahoo",Data_Table1[Symbol],"LastTradeDate")</f>
        <v>41694</v>
      </c>
      <c r="E4" s="7">
        <f>RTD("gartle.rtd",,"rtd-mysql","quotes_yahoo",Data_Table1[Symbol],"LastTradeTime")</f>
        <v>0.66666666666666663</v>
      </c>
      <c r="F4" s="8">
        <f>RTD("gartle.rtd",,"rtd-mysql","quotes_yahoo",Data_Table1[Symbol],"Last")</f>
        <v>527.54999999999995</v>
      </c>
      <c r="G4" s="9">
        <f>RTD("gartle.rtd",,"rtd-mysql","quotes_yahoo",Data_Table1[Symbol],"Change")</f>
        <v>2.2999999999999998</v>
      </c>
      <c r="H4" s="10">
        <f>RTD("gartle.rtd",,"rtd-mysql","quotes_yahoo",Data_Table1[Symbol],"PercentChange")</f>
        <v>4.3788672060923401E-3</v>
      </c>
      <c r="I4" s="8">
        <f>RTD("gartle.rtd",,"rtd-mysql","quotes_yahoo",Data_Table1[Symbol],"Open")</f>
        <v>523.04</v>
      </c>
      <c r="J4" s="8">
        <f>RTD("gartle.rtd",,"rtd-mysql","quotes_yahoo",Data_Table1[Symbol],"High")</f>
        <v>529.91989999999998</v>
      </c>
      <c r="K4" s="8">
        <f>RTD("gartle.rtd",,"rtd-mysql","quotes_yahoo",Data_Table1[Symbol],"Low")</f>
        <v>522.41999999999996</v>
      </c>
      <c r="L4" s="11">
        <f>RTD("gartle.rtd",,"rtd-mysql","quotes_yahoo",Data_Table1[Symbol],"Volume")</f>
        <v>10135183</v>
      </c>
      <c r="M4" s="7">
        <f>RTD("gartle.rtd",,"rtd-mysql","quotes_yahoo",Data_Table1[Symbol],"LastUpdateTimeStamp")</f>
        <v>41695.187152777777</v>
      </c>
      <c r="N4" t="str">
        <f>RTD("gartle.rtd",,"rtd-mysql","quotes_yahoo",Data_Table1[Symbol],"RTD_LastMessage")</f>
        <v/>
      </c>
    </row>
    <row r="5" spans="2:14" x14ac:dyDescent="0.25">
      <c r="B5">
        <v>1</v>
      </c>
      <c r="C5" t="s">
        <v>159</v>
      </c>
      <c r="D5" s="5">
        <f>RTD("gartle.rtd",,"rtd-mysql","quotes_yahoo",Data_Table1[Symbol],"LastTradeDate")</f>
        <v>41694</v>
      </c>
      <c r="E5" s="7">
        <f>RTD("gartle.rtd",,"rtd-mysql","quotes_yahoo",Data_Table1[Symbol],"LastTradeTime")</f>
        <v>0.66666666666666663</v>
      </c>
      <c r="F5" s="8">
        <f>RTD("gartle.rtd",,"rtd-mysql","quotes_yahoo",Data_Table1[Symbol],"Last")</f>
        <v>70.78</v>
      </c>
      <c r="G5" s="9">
        <f>RTD("gartle.rtd",,"rtd-mysql","quotes_yahoo",Data_Table1[Symbol],"Change")</f>
        <v>2.19</v>
      </c>
      <c r="H5" s="10">
        <f>RTD("gartle.rtd",,"rtd-mysql","quotes_yahoo",Data_Table1[Symbol],"PercentChange")</f>
        <v>3.1928852602420198E-2</v>
      </c>
      <c r="I5" s="8">
        <f>RTD("gartle.rtd",,"rtd-mysql","quotes_yahoo",Data_Table1[Symbol],"Open")</f>
        <v>68.75</v>
      </c>
      <c r="J5" s="8">
        <f>RTD("gartle.rtd",,"rtd-mysql","quotes_yahoo",Data_Table1[Symbol],"High")</f>
        <v>71.44</v>
      </c>
      <c r="K5" s="8">
        <f>RTD("gartle.rtd",,"rtd-mysql","quotes_yahoo",Data_Table1[Symbol],"Low")</f>
        <v>68.540000000000006</v>
      </c>
      <c r="L5" s="11">
        <f>RTD("gartle.rtd",,"rtd-mysql","quotes_yahoo",Data_Table1[Symbol],"Volume")</f>
        <v>76457840</v>
      </c>
      <c r="M5" s="7">
        <f>RTD("gartle.rtd",,"rtd-mysql","quotes_yahoo",Data_Table1[Symbol],"LastUpdateTimeStamp")</f>
        <v>41695.187152777777</v>
      </c>
      <c r="N5" t="str">
        <f>RTD("gartle.rtd",,"rtd-mysql","quotes_yahoo",Data_Table1[Symbol],"RTD_LastMessage")</f>
        <v/>
      </c>
    </row>
    <row r="6" spans="2:14" x14ac:dyDescent="0.25">
      <c r="B6">
        <v>2</v>
      </c>
      <c r="C6" t="s">
        <v>157</v>
      </c>
      <c r="D6" s="5">
        <f>RTD("gartle.rtd",,"rtd-mysql","quotes_yahoo",Data_Table1[Symbol],"LastTradeDate")</f>
        <v>41694</v>
      </c>
      <c r="E6" s="7">
        <f>RTD("gartle.rtd",,"rtd-mysql","quotes_yahoo",Data_Table1[Symbol],"LastTradeTime")</f>
        <v>0.66666666666666663</v>
      </c>
      <c r="F6" s="8">
        <f>RTD("gartle.rtd",,"rtd-mysql","quotes_yahoo",Data_Table1[Symbol],"Last")</f>
        <v>1212.51</v>
      </c>
      <c r="G6" s="9">
        <f>RTD("gartle.rtd",,"rtd-mysql","quotes_yahoo",Data_Table1[Symbol],"Change")</f>
        <v>8.7200000000000006</v>
      </c>
      <c r="H6" s="10">
        <f>RTD("gartle.rtd",,"rtd-mysql","quotes_yahoo",Data_Table1[Symbol],"PercentChange")</f>
        <v>7.2437883684031302E-3</v>
      </c>
      <c r="I6" s="8">
        <f>RTD("gartle.rtd",,"rtd-mysql","quotes_yahoo",Data_Table1[Symbol],"Open")</f>
        <v>1205.25</v>
      </c>
      <c r="J6" s="8">
        <f>RTD("gartle.rtd",,"rtd-mysql","quotes_yahoo",Data_Table1[Symbol],"High")</f>
        <v>1220.1600000000001</v>
      </c>
      <c r="K6" s="8">
        <f>RTD("gartle.rtd",,"rtd-mysql","quotes_yahoo",Data_Table1[Symbol],"Low")</f>
        <v>1205.0999999999999</v>
      </c>
      <c r="L6" s="11">
        <f>RTD("gartle.rtd",,"rtd-mysql","quotes_yahoo",Data_Table1[Symbol],"Volume")</f>
        <v>1620226</v>
      </c>
      <c r="M6" s="7">
        <f>RTD("gartle.rtd",,"rtd-mysql","quotes_yahoo",Data_Table1[Symbol],"LastUpdateTimeStamp")</f>
        <v>41695.187152777777</v>
      </c>
      <c r="N6" t="str">
        <f>RTD("gartle.rtd",,"rtd-mysql","quotes_yahoo",Data_Table1[Symbol],"RTD_LastMessage")</f>
        <v/>
      </c>
    </row>
    <row r="7" spans="2:14" x14ac:dyDescent="0.25">
      <c r="B7">
        <v>3</v>
      </c>
      <c r="C7" t="s">
        <v>162</v>
      </c>
      <c r="D7" s="5">
        <f>RTD("gartle.rtd",,"rtd-mysql","quotes_yahoo",Data_Table1[Symbol],"LastTradeDate")</f>
        <v>41694</v>
      </c>
      <c r="E7" s="7">
        <f>RTD("gartle.rtd",,"rtd-mysql","quotes_yahoo",Data_Table1[Symbol],"LastTradeTime")</f>
        <v>0.66666666666666663</v>
      </c>
      <c r="F7" s="8">
        <f>RTD("gartle.rtd",,"rtd-mysql","quotes_yahoo",Data_Table1[Symbol],"Last")</f>
        <v>199.59</v>
      </c>
      <c r="G7" s="9">
        <f>RTD("gartle.rtd",,"rtd-mysql","quotes_yahoo",Data_Table1[Symbol],"Change")</f>
        <v>6.97</v>
      </c>
      <c r="H7" s="10">
        <f>RTD("gartle.rtd",,"rtd-mysql","quotes_yahoo",Data_Table1[Symbol],"PercentChange")</f>
        <v>3.6185235178070797E-2</v>
      </c>
      <c r="I7" s="8">
        <f>RTD("gartle.rtd",,"rtd-mysql","quotes_yahoo",Data_Table1[Symbol],"Open")</f>
        <v>191.86</v>
      </c>
      <c r="J7" s="8">
        <f>RTD("gartle.rtd",,"rtd-mysql","quotes_yahoo",Data_Table1[Symbol],"High")</f>
        <v>199.88</v>
      </c>
      <c r="K7" s="8">
        <f>RTD("gartle.rtd",,"rtd-mysql","quotes_yahoo",Data_Table1[Symbol],"Low")</f>
        <v>191.51</v>
      </c>
      <c r="L7" s="11">
        <f>RTD("gartle.rtd",,"rtd-mysql","quotes_yahoo",Data_Table1[Symbol],"Volume")</f>
        <v>2718990</v>
      </c>
      <c r="M7" s="7">
        <f>RTD("gartle.rtd",,"rtd-mysql","quotes_yahoo",Data_Table1[Symbol],"LastUpdateTimeStamp")</f>
        <v>41695.187152777777</v>
      </c>
      <c r="N7" t="str">
        <f>RTD("gartle.rtd",,"rtd-mysql","quotes_yahoo",Data_Table1[Symbol],"RTD_LastMessage")</f>
        <v/>
      </c>
    </row>
    <row r="8" spans="2:14" x14ac:dyDescent="0.25">
      <c r="B8">
        <v>4</v>
      </c>
      <c r="C8" t="s">
        <v>158</v>
      </c>
      <c r="D8" s="5">
        <f>RTD("gartle.rtd",,"rtd-mysql","quotes_yahoo",Data_Table1[Symbol],"LastTradeDate")</f>
        <v>41694</v>
      </c>
      <c r="E8" s="7">
        <f>RTD("gartle.rtd",,"rtd-mysql","quotes_yahoo",Data_Table1[Symbol],"LastTradeTime")</f>
        <v>0.66666666666666663</v>
      </c>
      <c r="F8" s="8">
        <f>RTD("gartle.rtd",,"rtd-mysql","quotes_yahoo",Data_Table1[Symbol],"Last")</f>
        <v>37.69</v>
      </c>
      <c r="G8" s="9">
        <f>RTD("gartle.rtd",,"rtd-mysql","quotes_yahoo",Data_Table1[Symbol],"Change")</f>
        <v>-0.28999999999999998</v>
      </c>
      <c r="H8" s="10">
        <f>RTD("gartle.rtd",,"rtd-mysql","quotes_yahoo",Data_Table1[Symbol],"PercentChange")</f>
        <v>-7.63559768299105E-3</v>
      </c>
      <c r="I8" s="8">
        <f>RTD("gartle.rtd",,"rtd-mysql","quotes_yahoo",Data_Table1[Symbol],"Open")</f>
        <v>37.659999999999997</v>
      </c>
      <c r="J8" s="8">
        <f>RTD("gartle.rtd",,"rtd-mysql","quotes_yahoo",Data_Table1[Symbol],"High")</f>
        <v>37.975000000000001</v>
      </c>
      <c r="K8" s="8">
        <f>RTD("gartle.rtd",,"rtd-mysql","quotes_yahoo",Data_Table1[Symbol],"Low")</f>
        <v>37.54</v>
      </c>
      <c r="L8" s="11">
        <f>RTD("gartle.rtd",,"rtd-mysql","quotes_yahoo",Data_Table1[Symbol],"Volume")</f>
        <v>31322364</v>
      </c>
      <c r="M8" s="7">
        <f>RTD("gartle.rtd",,"rtd-mysql","quotes_yahoo",Data_Table1[Symbol],"LastUpdateTimeStamp")</f>
        <v>41695.187152777777</v>
      </c>
      <c r="N8" t="str">
        <f>RTD("gartle.rtd",,"rtd-mysql","quotes_yahoo",Data_Table1[Symbol],"RTD_LastMessage")</f>
        <v/>
      </c>
    </row>
    <row r="9" spans="2:14" x14ac:dyDescent="0.25">
      <c r="B9">
        <v>5</v>
      </c>
      <c r="C9" t="s">
        <v>161</v>
      </c>
      <c r="D9" s="5">
        <f>RTD("gartle.rtd",,"rtd-mysql","quotes_yahoo",Data_Table1[Symbol],"LastTradeDate")</f>
        <v>41694</v>
      </c>
      <c r="E9" s="7">
        <f>RTD("gartle.rtd",,"rtd-mysql","quotes_yahoo",Data_Table1[Symbol],"LastTradeTime")</f>
        <v>0.66736111111111107</v>
      </c>
      <c r="F9" s="8">
        <f>RTD("gartle.rtd",,"rtd-mysql","quotes_yahoo",Data_Table1[Symbol],"Last")</f>
        <v>38.14</v>
      </c>
      <c r="G9" s="9">
        <f>RTD("gartle.rtd",,"rtd-mysql","quotes_yahoo",Data_Table1[Symbol],"Change")</f>
        <v>0.04</v>
      </c>
      <c r="H9" s="10">
        <f>RTD("gartle.rtd",,"rtd-mysql","quotes_yahoo",Data_Table1[Symbol],"PercentChange")</f>
        <v>1.0498687664041999E-3</v>
      </c>
      <c r="I9" s="8">
        <f>RTD("gartle.rtd",,"rtd-mysql","quotes_yahoo",Data_Table1[Symbol],"Open")</f>
        <v>38.159999999999997</v>
      </c>
      <c r="J9" s="8">
        <f>RTD("gartle.rtd",,"rtd-mysql","quotes_yahoo",Data_Table1[Symbol],"High")</f>
        <v>38.454999999999998</v>
      </c>
      <c r="K9" s="8">
        <f>RTD("gartle.rtd",,"rtd-mysql","quotes_yahoo",Data_Table1[Symbol],"Low")</f>
        <v>38.04</v>
      </c>
      <c r="L9" s="11">
        <f>RTD("gartle.rtd",,"rtd-mysql","quotes_yahoo",Data_Table1[Symbol],"Volume")</f>
        <v>10292762</v>
      </c>
      <c r="M9" s="7">
        <f>RTD("gartle.rtd",,"rtd-mysql","quotes_yahoo",Data_Table1[Symbol],"LastUpdateTimeStamp")</f>
        <v>41695.187152777777</v>
      </c>
      <c r="N9" t="str">
        <f>RTD("gartle.rtd",,"rtd-mysql","quotes_yahoo",Data_Table1[Symbol],"RTD_LastMessage")</f>
        <v/>
      </c>
    </row>
    <row r="10" spans="2:14" x14ac:dyDescent="0.25">
      <c r="B10">
        <v>6</v>
      </c>
      <c r="C10" t="s">
        <v>163</v>
      </c>
      <c r="D10" s="5">
        <f>RTD("gartle.rtd",,"rtd-mysql","quotes_yahoo",Data_Table1[Symbol],"LastTradeDate")</f>
        <v>41694</v>
      </c>
      <c r="E10" s="7">
        <f>RTD("gartle.rtd",,"rtd-mysql","quotes_yahoo",Data_Table1[Symbol],"LastTradeTime")</f>
        <v>0.66666666666666663</v>
      </c>
      <c r="F10" s="8">
        <f>RTD("gartle.rtd",,"rtd-mysql","quotes_yahoo",Data_Table1[Symbol],"Last")</f>
        <v>37.42</v>
      </c>
      <c r="G10" s="9">
        <f>RTD("gartle.rtd",,"rtd-mysql","quotes_yahoo",Data_Table1[Symbol],"Change")</f>
        <v>0.13</v>
      </c>
      <c r="H10" s="10">
        <f>RTD("gartle.rtd",,"rtd-mysql","quotes_yahoo",Data_Table1[Symbol],"PercentChange")</f>
        <v>3.4861893268972898E-3</v>
      </c>
      <c r="I10" s="8">
        <f>RTD("gartle.rtd",,"rtd-mysql","quotes_yahoo",Data_Table1[Symbol],"Open")</f>
        <v>37.119999999999997</v>
      </c>
      <c r="J10" s="8">
        <f>RTD("gartle.rtd",,"rtd-mysql","quotes_yahoo",Data_Table1[Symbol],"High")</f>
        <v>37.71</v>
      </c>
      <c r="K10" s="8">
        <f>RTD("gartle.rtd",,"rtd-mysql","quotes_yahoo",Data_Table1[Symbol],"Low")</f>
        <v>36.82</v>
      </c>
      <c r="L10" s="11">
        <f>RTD("gartle.rtd",,"rtd-mysql","quotes_yahoo",Data_Table1[Symbol],"Volume")</f>
        <v>15676729</v>
      </c>
      <c r="M10" s="7">
        <f>RTD("gartle.rtd",,"rtd-mysql","quotes_yahoo",Data_Table1[Symbol],"LastUpdateTimeStamp")</f>
        <v>41695.187152777777</v>
      </c>
      <c r="N10" t="str">
        <f>RTD("gartle.rtd",,"rtd-mysql","quotes_yahoo",Data_Table1[Symbol],"RTD_LastMessage")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4.570312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f>RTD("gartle.rtd",,"rtd-mysql","quotes_yahoo",QuotesYahoo_Table1[Symbol],"LastTradeDate")</f>
        <v>41694</v>
      </c>
      <c r="E4" s="7">
        <f>RTD("gartle.rtd",,"rtd-mysql","quotes_yahoo",QuotesYahoo_Table1[Symbol],"LastTradeTime")</f>
        <v>0.66666666666666663</v>
      </c>
      <c r="F4" s="8">
        <f>RTD("gartle.rtd",,"rtd-mysql","quotes_yahoo",QuotesYahoo_Table1[Symbol],"Last")</f>
        <v>527.54999999999995</v>
      </c>
      <c r="G4" s="9">
        <f>RTD("gartle.rtd",,"rtd-mysql","quotes_yahoo",QuotesYahoo_Table1[Symbol],"Change")</f>
        <v>2.2999999999999998</v>
      </c>
      <c r="H4" s="10">
        <f>RTD("gartle.rtd",,"rtd-mysql","quotes_yahoo",QuotesYahoo_Table1[Symbol],"PercentChange")</f>
        <v>4.3788672060923401E-3</v>
      </c>
      <c r="I4" s="8">
        <f>RTD("gartle.rtd",,"rtd-mysql","quotes_yahoo",QuotesYahoo_Table1[Symbol],"Open")</f>
        <v>523.04</v>
      </c>
      <c r="J4" s="8">
        <f>RTD("gartle.rtd",,"rtd-mysql","quotes_yahoo",QuotesYahoo_Table1[Symbol],"High")</f>
        <v>529.91989999999998</v>
      </c>
      <c r="K4" s="8">
        <f>RTD("gartle.rtd",,"rtd-mysql","quotes_yahoo",QuotesYahoo_Table1[Symbol],"Low")</f>
        <v>522.41999999999996</v>
      </c>
      <c r="L4" s="11">
        <f>RTD("gartle.rtd",,"rtd-mysql","quotes_yahoo",QuotesYahoo_Table1[Symbol],"Volume")</f>
        <v>10135183</v>
      </c>
      <c r="M4" s="7">
        <f>RTD("gartle.rtd",,"rtd-mysql","quotes_yahoo",QuotesYahoo_Table1[Symbol],"LastUpdateTimeStamp")</f>
        <v>41695.187152777777</v>
      </c>
      <c r="N4" t="str">
        <f>RTD("gartle.rtd",,"rtd-mysql","quotes_yahoo",QuotesYahoo_Table1[Symbol],"RTD_LastMessage")</f>
        <v/>
      </c>
    </row>
    <row r="5" spans="2:14" x14ac:dyDescent="0.25">
      <c r="B5">
        <v>1</v>
      </c>
      <c r="C5" t="s">
        <v>159</v>
      </c>
      <c r="D5" s="5">
        <f>RTD("gartle.rtd",,"rtd-mysql","quotes_yahoo",QuotesYahoo_Table1[Symbol],"LastTradeDate")</f>
        <v>41694</v>
      </c>
      <c r="E5" s="7">
        <f>RTD("gartle.rtd",,"rtd-mysql","quotes_yahoo",QuotesYahoo_Table1[Symbol],"LastTradeTime")</f>
        <v>0.66666666666666663</v>
      </c>
      <c r="F5" s="8">
        <f>RTD("gartle.rtd",,"rtd-mysql","quotes_yahoo",QuotesYahoo_Table1[Symbol],"Last")</f>
        <v>70.78</v>
      </c>
      <c r="G5" s="9">
        <f>RTD("gartle.rtd",,"rtd-mysql","quotes_yahoo",QuotesYahoo_Table1[Symbol],"Change")</f>
        <v>2.19</v>
      </c>
      <c r="H5" s="10">
        <f>RTD("gartle.rtd",,"rtd-mysql","quotes_yahoo",QuotesYahoo_Table1[Symbol],"PercentChange")</f>
        <v>3.1928852602420198E-2</v>
      </c>
      <c r="I5" s="8">
        <f>RTD("gartle.rtd",,"rtd-mysql","quotes_yahoo",QuotesYahoo_Table1[Symbol],"Open")</f>
        <v>68.75</v>
      </c>
      <c r="J5" s="8">
        <f>RTD("gartle.rtd",,"rtd-mysql","quotes_yahoo",QuotesYahoo_Table1[Symbol],"High")</f>
        <v>71.44</v>
      </c>
      <c r="K5" s="8">
        <f>RTD("gartle.rtd",,"rtd-mysql","quotes_yahoo",QuotesYahoo_Table1[Symbol],"Low")</f>
        <v>68.540000000000006</v>
      </c>
      <c r="L5" s="11">
        <f>RTD("gartle.rtd",,"rtd-mysql","quotes_yahoo",QuotesYahoo_Table1[Symbol],"Volume")</f>
        <v>76457840</v>
      </c>
      <c r="M5" s="7">
        <f>RTD("gartle.rtd",,"rtd-mysql","quotes_yahoo",QuotesYahoo_Table1[Symbol],"LastUpdateTimeStamp")</f>
        <v>41695.187152777777</v>
      </c>
      <c r="N5" t="str">
        <f>RTD("gartle.rtd",,"rtd-mysql","quotes_yahoo",QuotesYahoo_Table1[Symbol],"RTD_LastMessage")</f>
        <v/>
      </c>
    </row>
    <row r="6" spans="2:14" x14ac:dyDescent="0.25">
      <c r="B6">
        <v>2</v>
      </c>
      <c r="C6" t="s">
        <v>157</v>
      </c>
      <c r="D6" s="5">
        <f>RTD("gartle.rtd",,"rtd-mysql","quotes_yahoo",QuotesYahoo_Table1[Symbol],"LastTradeDate")</f>
        <v>41694</v>
      </c>
      <c r="E6" s="7">
        <f>RTD("gartle.rtd",,"rtd-mysql","quotes_yahoo",QuotesYahoo_Table1[Symbol],"LastTradeTime")</f>
        <v>0.66666666666666663</v>
      </c>
      <c r="F6" s="8">
        <f>RTD("gartle.rtd",,"rtd-mysql","quotes_yahoo",QuotesYahoo_Table1[Symbol],"Last")</f>
        <v>1212.51</v>
      </c>
      <c r="G6" s="9">
        <f>RTD("gartle.rtd",,"rtd-mysql","quotes_yahoo",QuotesYahoo_Table1[Symbol],"Change")</f>
        <v>8.7200000000000006</v>
      </c>
      <c r="H6" s="10">
        <f>RTD("gartle.rtd",,"rtd-mysql","quotes_yahoo",QuotesYahoo_Table1[Symbol],"PercentChange")</f>
        <v>7.2437883684031302E-3</v>
      </c>
      <c r="I6" s="8">
        <f>RTD("gartle.rtd",,"rtd-mysql","quotes_yahoo",QuotesYahoo_Table1[Symbol],"Open")</f>
        <v>1205.25</v>
      </c>
      <c r="J6" s="8">
        <f>RTD("gartle.rtd",,"rtd-mysql","quotes_yahoo",QuotesYahoo_Table1[Symbol],"High")</f>
        <v>1220.1600000000001</v>
      </c>
      <c r="K6" s="8">
        <f>RTD("gartle.rtd",,"rtd-mysql","quotes_yahoo",QuotesYahoo_Table1[Symbol],"Low")</f>
        <v>1205.0999999999999</v>
      </c>
      <c r="L6" s="11">
        <f>RTD("gartle.rtd",,"rtd-mysql","quotes_yahoo",QuotesYahoo_Table1[Symbol],"Volume")</f>
        <v>1620226</v>
      </c>
      <c r="M6" s="7">
        <f>RTD("gartle.rtd",,"rtd-mysql","quotes_yahoo",QuotesYahoo_Table1[Symbol],"LastUpdateTimeStamp")</f>
        <v>41695.187152777777</v>
      </c>
      <c r="N6" t="str">
        <f>RTD("gartle.rtd",,"rtd-mysql","quotes_yahoo",QuotesYahoo_Table1[Symbol],"RTD_LastMessage")</f>
        <v/>
      </c>
    </row>
    <row r="7" spans="2:14" x14ac:dyDescent="0.25">
      <c r="B7">
        <v>3</v>
      </c>
      <c r="C7" t="s">
        <v>162</v>
      </c>
      <c r="D7" s="5">
        <f>RTD("gartle.rtd",,"rtd-mysql","quotes_yahoo",QuotesYahoo_Table1[Symbol],"LastTradeDate")</f>
        <v>41694</v>
      </c>
      <c r="E7" s="7">
        <f>RTD("gartle.rtd",,"rtd-mysql","quotes_yahoo",QuotesYahoo_Table1[Symbol],"LastTradeTime")</f>
        <v>0.66666666666666663</v>
      </c>
      <c r="F7" s="8">
        <f>RTD("gartle.rtd",,"rtd-mysql","quotes_yahoo",QuotesYahoo_Table1[Symbol],"Last")</f>
        <v>199.59</v>
      </c>
      <c r="G7" s="9">
        <f>RTD("gartle.rtd",,"rtd-mysql","quotes_yahoo",QuotesYahoo_Table1[Symbol],"Change")</f>
        <v>6.97</v>
      </c>
      <c r="H7" s="10">
        <f>RTD("gartle.rtd",,"rtd-mysql","quotes_yahoo",QuotesYahoo_Table1[Symbol],"PercentChange")</f>
        <v>3.6185235178070797E-2</v>
      </c>
      <c r="I7" s="8">
        <f>RTD("gartle.rtd",,"rtd-mysql","quotes_yahoo",QuotesYahoo_Table1[Symbol],"Open")</f>
        <v>191.86</v>
      </c>
      <c r="J7" s="8">
        <f>RTD("gartle.rtd",,"rtd-mysql","quotes_yahoo",QuotesYahoo_Table1[Symbol],"High")</f>
        <v>199.88</v>
      </c>
      <c r="K7" s="8">
        <f>RTD("gartle.rtd",,"rtd-mysql","quotes_yahoo",QuotesYahoo_Table1[Symbol],"Low")</f>
        <v>191.51</v>
      </c>
      <c r="L7" s="11">
        <f>RTD("gartle.rtd",,"rtd-mysql","quotes_yahoo",QuotesYahoo_Table1[Symbol],"Volume")</f>
        <v>2718990</v>
      </c>
      <c r="M7" s="7">
        <f>RTD("gartle.rtd",,"rtd-mysql","quotes_yahoo",QuotesYahoo_Table1[Symbol],"LastUpdateTimeStamp")</f>
        <v>41695.187152777777</v>
      </c>
      <c r="N7" t="str">
        <f>RTD("gartle.rtd",,"rtd-mysql","quotes_yahoo",QuotesYahoo_Table1[Symbol],"RTD_LastMessage")</f>
        <v/>
      </c>
    </row>
    <row r="8" spans="2:14" x14ac:dyDescent="0.25">
      <c r="B8">
        <v>4</v>
      </c>
      <c r="C8" t="s">
        <v>158</v>
      </c>
      <c r="D8" s="5">
        <f>RTD("gartle.rtd",,"rtd-mysql","quotes_yahoo",QuotesYahoo_Table1[Symbol],"LastTradeDate")</f>
        <v>41694</v>
      </c>
      <c r="E8" s="7">
        <f>RTD("gartle.rtd",,"rtd-mysql","quotes_yahoo",QuotesYahoo_Table1[Symbol],"LastTradeTime")</f>
        <v>0.66666666666666663</v>
      </c>
      <c r="F8" s="8">
        <f>RTD("gartle.rtd",,"rtd-mysql","quotes_yahoo",QuotesYahoo_Table1[Symbol],"Last")</f>
        <v>37.69</v>
      </c>
      <c r="G8" s="9">
        <f>RTD("gartle.rtd",,"rtd-mysql","quotes_yahoo",QuotesYahoo_Table1[Symbol],"Change")</f>
        <v>-0.28999999999999998</v>
      </c>
      <c r="H8" s="10">
        <f>RTD("gartle.rtd",,"rtd-mysql","quotes_yahoo",QuotesYahoo_Table1[Symbol],"PercentChange")</f>
        <v>-7.63559768299105E-3</v>
      </c>
      <c r="I8" s="8">
        <f>RTD("gartle.rtd",,"rtd-mysql","quotes_yahoo",QuotesYahoo_Table1[Symbol],"Open")</f>
        <v>37.659999999999997</v>
      </c>
      <c r="J8" s="8">
        <f>RTD("gartle.rtd",,"rtd-mysql","quotes_yahoo",QuotesYahoo_Table1[Symbol],"High")</f>
        <v>37.975000000000001</v>
      </c>
      <c r="K8" s="8">
        <f>RTD("gartle.rtd",,"rtd-mysql","quotes_yahoo",QuotesYahoo_Table1[Symbol],"Low")</f>
        <v>37.54</v>
      </c>
      <c r="L8" s="11">
        <f>RTD("gartle.rtd",,"rtd-mysql","quotes_yahoo",QuotesYahoo_Table1[Symbol],"Volume")</f>
        <v>31322364</v>
      </c>
      <c r="M8" s="7">
        <f>RTD("gartle.rtd",,"rtd-mysql","quotes_yahoo",QuotesYahoo_Table1[Symbol],"LastUpdateTimeStamp")</f>
        <v>41695.187152777777</v>
      </c>
      <c r="N8" t="str">
        <f>RTD("gartle.rtd",,"rtd-mysql","quotes_yahoo",QuotesYahoo_Table1[Symbol],"RTD_LastMessage")</f>
        <v/>
      </c>
    </row>
    <row r="9" spans="2:14" x14ac:dyDescent="0.25">
      <c r="B9">
        <v>5</v>
      </c>
      <c r="C9" t="s">
        <v>161</v>
      </c>
      <c r="D9" s="5">
        <f>RTD("gartle.rtd",,"rtd-mysql","quotes_yahoo",QuotesYahoo_Table1[Symbol],"LastTradeDate")</f>
        <v>41694</v>
      </c>
      <c r="E9" s="7">
        <f>RTD("gartle.rtd",,"rtd-mysql","quotes_yahoo",QuotesYahoo_Table1[Symbol],"LastTradeTime")</f>
        <v>0.66736111111111107</v>
      </c>
      <c r="F9" s="8">
        <f>RTD("gartle.rtd",,"rtd-mysql","quotes_yahoo",QuotesYahoo_Table1[Symbol],"Last")</f>
        <v>38.14</v>
      </c>
      <c r="G9" s="9">
        <f>RTD("gartle.rtd",,"rtd-mysql","quotes_yahoo",QuotesYahoo_Table1[Symbol],"Change")</f>
        <v>0.04</v>
      </c>
      <c r="H9" s="10">
        <f>RTD("gartle.rtd",,"rtd-mysql","quotes_yahoo",QuotesYahoo_Table1[Symbol],"PercentChange")</f>
        <v>1.0498687664041999E-3</v>
      </c>
      <c r="I9" s="8">
        <f>RTD("gartle.rtd",,"rtd-mysql","quotes_yahoo",QuotesYahoo_Table1[Symbol],"Open")</f>
        <v>38.159999999999997</v>
      </c>
      <c r="J9" s="8">
        <f>RTD("gartle.rtd",,"rtd-mysql","quotes_yahoo",QuotesYahoo_Table1[Symbol],"High")</f>
        <v>38.454999999999998</v>
      </c>
      <c r="K9" s="8">
        <f>RTD("gartle.rtd",,"rtd-mysql","quotes_yahoo",QuotesYahoo_Table1[Symbol],"Low")</f>
        <v>38.04</v>
      </c>
      <c r="L9" s="11">
        <f>RTD("gartle.rtd",,"rtd-mysql","quotes_yahoo",QuotesYahoo_Table1[Symbol],"Volume")</f>
        <v>10292762</v>
      </c>
      <c r="M9" s="7">
        <f>RTD("gartle.rtd",,"rtd-mysql","quotes_yahoo",QuotesYahoo_Table1[Symbol],"LastUpdateTimeStamp")</f>
        <v>41695.187152777777</v>
      </c>
      <c r="N9" t="str">
        <f>RTD("gartle.rtd",,"rtd-mysql","quotes_yahoo",QuotesYahoo_Table1[Symbol],"RTD_LastMessage")</f>
        <v/>
      </c>
    </row>
    <row r="10" spans="2:14" x14ac:dyDescent="0.25">
      <c r="B10">
        <v>6</v>
      </c>
      <c r="C10" t="s">
        <v>163</v>
      </c>
      <c r="D10" s="5">
        <f>RTD("gartle.rtd",,"rtd-mysql","quotes_yahoo",QuotesYahoo_Table1[Symbol],"LastTradeDate")</f>
        <v>41694</v>
      </c>
      <c r="E10" s="7">
        <f>RTD("gartle.rtd",,"rtd-mysql","quotes_yahoo",QuotesYahoo_Table1[Symbol],"LastTradeTime")</f>
        <v>0.66666666666666663</v>
      </c>
      <c r="F10" s="8">
        <f>RTD("gartle.rtd",,"rtd-mysql","quotes_yahoo",QuotesYahoo_Table1[Symbol],"Last")</f>
        <v>37.42</v>
      </c>
      <c r="G10" s="9">
        <f>RTD("gartle.rtd",,"rtd-mysql","quotes_yahoo",QuotesYahoo_Table1[Symbol],"Change")</f>
        <v>0.13</v>
      </c>
      <c r="H10" s="10">
        <f>RTD("gartle.rtd",,"rtd-mysql","quotes_yahoo",QuotesYahoo_Table1[Symbol],"PercentChange")</f>
        <v>3.4861893268972898E-3</v>
      </c>
      <c r="I10" s="8">
        <f>RTD("gartle.rtd",,"rtd-mysql","quotes_yahoo",QuotesYahoo_Table1[Symbol],"Open")</f>
        <v>37.119999999999997</v>
      </c>
      <c r="J10" s="8">
        <f>RTD("gartle.rtd",,"rtd-mysql","quotes_yahoo",QuotesYahoo_Table1[Symbol],"High")</f>
        <v>37.71</v>
      </c>
      <c r="K10" s="8">
        <f>RTD("gartle.rtd",,"rtd-mysql","quotes_yahoo",QuotesYahoo_Table1[Symbol],"Low")</f>
        <v>36.82</v>
      </c>
      <c r="L10" s="11">
        <f>RTD("gartle.rtd",,"rtd-mysql","quotes_yahoo",QuotesYahoo_Table1[Symbol],"Volume")</f>
        <v>15676729</v>
      </c>
      <c r="M10" s="7">
        <f>RTD("gartle.rtd",,"rtd-mysql","quotes_yahoo",QuotesYahoo_Table1[Symbol],"LastUpdateTimeStamp")</f>
        <v>41695.187152777777</v>
      </c>
      <c r="N10" t="str">
        <f>RTD("gartle.rtd",,"rtd-mysql","quotes_yahoo",QuotesYahoo_Table1[Symbol],"RTD_LastMessage")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160</v>
      </c>
      <c r="D4" s="5">
        <v>41694</v>
      </c>
      <c r="E4" s="7">
        <f>RTD("gartle.rtd",,"rtd-mysql","quote_day_history_yahoo",QuoteDayHistoryYahoo_Table1[Symbol],QuoteDayHistoryYahoo_Table1[Date],"LastTradeTime")</f>
        <v>0.66666666666666663</v>
      </c>
      <c r="F4" s="8">
        <f>RTD("gartle.rtd",,"rtd-mysql","quote_day_history_yahoo",QuoteDayHistoryYahoo_Table1[Symbol],QuoteDayHistoryYahoo_Table1[Date],"Last")</f>
        <v>527.54999999999995</v>
      </c>
      <c r="G4" s="9">
        <f>RTD("gartle.rtd",,"rtd-mysql","quote_day_history_yahoo",QuoteDayHistoryYahoo_Table1[Symbol],QuoteDayHistoryYahoo_Table1[Date],"Change")</f>
        <v>2.2999999999999998</v>
      </c>
      <c r="H4" s="10">
        <f>RTD("gartle.rtd",,"rtd-mysql","quote_day_history_yahoo",QuoteDayHistoryYahoo_Table1[Symbol],QuoteDayHistoryYahoo_Table1[Date],"PercentChange")</f>
        <v>4.3788672060923401E-3</v>
      </c>
      <c r="I4" s="8">
        <f>RTD("gartle.rtd",,"rtd-mysql","quote_day_history_yahoo",QuoteDayHistoryYahoo_Table1[Symbol],QuoteDayHistoryYahoo_Table1[Date],"Open")</f>
        <v>523.04</v>
      </c>
      <c r="J4" s="8">
        <f>RTD("gartle.rtd",,"rtd-mysql","quote_day_history_yahoo",QuoteDayHistoryYahoo_Table1[Symbol],QuoteDayHistoryYahoo_Table1[Date],"High")</f>
        <v>529.91989999999998</v>
      </c>
      <c r="K4" s="8">
        <f>RTD("gartle.rtd",,"rtd-mysql","quote_day_history_yahoo",QuoteDayHistoryYahoo_Table1[Symbol],QuoteDayHistoryYahoo_Table1[Date],"Low")</f>
        <v>522.41999999999996</v>
      </c>
      <c r="L4" s="11">
        <f>RTD("gartle.rtd",,"rtd-mysql","quote_day_history_yahoo",QuoteDayHistoryYahoo_Table1[Symbol],QuoteDayHistoryYahoo_Table1[Date],"Volume")</f>
        <v>10135183</v>
      </c>
      <c r="M4" s="7">
        <f>RTD("gartle.rtd",,"rtd-mysql","quote_day_history_yahoo",QuoteDayHistoryYahoo_Table1[Symbol],QuoteDayHistoryYahoo_Table1[Date],"LastUpdateTimeStamp")</f>
        <v>41695.187152777777</v>
      </c>
      <c r="N4" t="str">
        <f>RTD("gartle.rtd",,"rtd-mysql","quote_day_history_yahoo",QuoteDayHistoryYahoo_Table1[Symbol],QuoteDayHistoryYahoo_Table1[Date],"RTD_LastMessage")</f>
        <v/>
      </c>
    </row>
    <row r="5" spans="2:14" x14ac:dyDescent="0.25">
      <c r="B5">
        <v>1</v>
      </c>
      <c r="C5" t="s">
        <v>159</v>
      </c>
      <c r="D5" s="5">
        <v>41694</v>
      </c>
      <c r="E5" s="7">
        <f>RTD("gartle.rtd",,"rtd-mysql","quote_day_history_yahoo",QuoteDayHistoryYahoo_Table1[Symbol],QuoteDayHistoryYahoo_Table1[Date],"LastTradeTime")</f>
        <v>0.66666666666666663</v>
      </c>
      <c r="F5" s="8">
        <f>RTD("gartle.rtd",,"rtd-mysql","quote_day_history_yahoo",QuoteDayHistoryYahoo_Table1[Symbol],QuoteDayHistoryYahoo_Table1[Date],"Last")</f>
        <v>70.78</v>
      </c>
      <c r="G5" s="9">
        <f>RTD("gartle.rtd",,"rtd-mysql","quote_day_history_yahoo",QuoteDayHistoryYahoo_Table1[Symbol],QuoteDayHistoryYahoo_Table1[Date],"Change")</f>
        <v>2.19</v>
      </c>
      <c r="H5" s="10">
        <f>RTD("gartle.rtd",,"rtd-mysql","quote_day_history_yahoo",QuoteDayHistoryYahoo_Table1[Symbol],QuoteDayHistoryYahoo_Table1[Date],"PercentChange")</f>
        <v>3.1928852602420198E-2</v>
      </c>
      <c r="I5" s="8">
        <f>RTD("gartle.rtd",,"rtd-mysql","quote_day_history_yahoo",QuoteDayHistoryYahoo_Table1[Symbol],QuoteDayHistoryYahoo_Table1[Date],"Open")</f>
        <v>68.75</v>
      </c>
      <c r="J5" s="8">
        <f>RTD("gartle.rtd",,"rtd-mysql","quote_day_history_yahoo",QuoteDayHistoryYahoo_Table1[Symbol],QuoteDayHistoryYahoo_Table1[Date],"High")</f>
        <v>71.44</v>
      </c>
      <c r="K5" s="8">
        <f>RTD("gartle.rtd",,"rtd-mysql","quote_day_history_yahoo",QuoteDayHistoryYahoo_Table1[Symbol],QuoteDayHistoryYahoo_Table1[Date],"Low")</f>
        <v>68.540000000000006</v>
      </c>
      <c r="L5" s="11">
        <f>RTD("gartle.rtd",,"rtd-mysql","quote_day_history_yahoo",QuoteDayHistoryYahoo_Table1[Symbol],QuoteDayHistoryYahoo_Table1[Date],"Volume")</f>
        <v>76457840</v>
      </c>
      <c r="M5" s="7">
        <f>RTD("gartle.rtd",,"rtd-mysql","quote_day_history_yahoo",QuoteDayHistoryYahoo_Table1[Symbol],QuoteDayHistoryYahoo_Table1[Date],"LastUpdateTimeStamp")</f>
        <v>41695.187152777777</v>
      </c>
      <c r="N5" t="str">
        <f>RTD("gartle.rtd",,"rtd-mysql","quote_day_history_yahoo",QuoteDayHistoryYahoo_Table1[Symbol],QuoteDayHistoryYahoo_Table1[Date],"RTD_LastMessage")</f>
        <v/>
      </c>
    </row>
    <row r="6" spans="2:14" x14ac:dyDescent="0.25">
      <c r="B6">
        <v>2</v>
      </c>
      <c r="C6" t="s">
        <v>157</v>
      </c>
      <c r="D6" s="5">
        <v>41694</v>
      </c>
      <c r="E6" s="7">
        <f>RTD("gartle.rtd",,"rtd-mysql","quote_day_history_yahoo",QuoteDayHistoryYahoo_Table1[Symbol],QuoteDayHistoryYahoo_Table1[Date],"LastTradeTime")</f>
        <v>0.66666666666666663</v>
      </c>
      <c r="F6" s="8">
        <f>RTD("gartle.rtd",,"rtd-mysql","quote_day_history_yahoo",QuoteDayHistoryYahoo_Table1[Symbol],QuoteDayHistoryYahoo_Table1[Date],"Last")</f>
        <v>1212.51</v>
      </c>
      <c r="G6" s="9">
        <f>RTD("gartle.rtd",,"rtd-mysql","quote_day_history_yahoo",QuoteDayHistoryYahoo_Table1[Symbol],QuoteDayHistoryYahoo_Table1[Date],"Change")</f>
        <v>8.7200000000000006</v>
      </c>
      <c r="H6" s="10">
        <f>RTD("gartle.rtd",,"rtd-mysql","quote_day_history_yahoo",QuoteDayHistoryYahoo_Table1[Symbol],QuoteDayHistoryYahoo_Table1[Date],"PercentChange")</f>
        <v>7.2437883684031302E-3</v>
      </c>
      <c r="I6" s="8">
        <f>RTD("gartle.rtd",,"rtd-mysql","quote_day_history_yahoo",QuoteDayHistoryYahoo_Table1[Symbol],QuoteDayHistoryYahoo_Table1[Date],"Open")</f>
        <v>1205.25</v>
      </c>
      <c r="J6" s="8">
        <f>RTD("gartle.rtd",,"rtd-mysql","quote_day_history_yahoo",QuoteDayHistoryYahoo_Table1[Symbol],QuoteDayHistoryYahoo_Table1[Date],"High")</f>
        <v>1220.1600000000001</v>
      </c>
      <c r="K6" s="8">
        <f>RTD("gartle.rtd",,"rtd-mysql","quote_day_history_yahoo",QuoteDayHistoryYahoo_Table1[Symbol],QuoteDayHistoryYahoo_Table1[Date],"Low")</f>
        <v>1205.0999999999999</v>
      </c>
      <c r="L6" s="11">
        <f>RTD("gartle.rtd",,"rtd-mysql","quote_day_history_yahoo",QuoteDayHistoryYahoo_Table1[Symbol],QuoteDayHistoryYahoo_Table1[Date],"Volume")</f>
        <v>1620226</v>
      </c>
      <c r="M6" s="7">
        <f>RTD("gartle.rtd",,"rtd-mysql","quote_day_history_yahoo",QuoteDayHistoryYahoo_Table1[Symbol],QuoteDayHistoryYahoo_Table1[Date],"LastUpdateTimeStamp")</f>
        <v>41695.187152777777</v>
      </c>
      <c r="N6" t="str">
        <f>RTD("gartle.rtd",,"rtd-mysql","quote_day_history_yahoo",QuoteDayHistoryYahoo_Table1[Symbol],QuoteDayHistoryYahoo_Table1[Date],"RTD_LastMessage")</f>
        <v/>
      </c>
    </row>
    <row r="7" spans="2:14" x14ac:dyDescent="0.25">
      <c r="B7">
        <v>3</v>
      </c>
      <c r="C7" t="s">
        <v>162</v>
      </c>
      <c r="D7" s="5">
        <v>41694</v>
      </c>
      <c r="E7" s="7">
        <f>RTD("gartle.rtd",,"rtd-mysql","quote_day_history_yahoo",QuoteDayHistoryYahoo_Table1[Symbol],QuoteDayHistoryYahoo_Table1[Date],"LastTradeTime")</f>
        <v>0.66666666666666663</v>
      </c>
      <c r="F7" s="8">
        <f>RTD("gartle.rtd",,"rtd-mysql","quote_day_history_yahoo",QuoteDayHistoryYahoo_Table1[Symbol],QuoteDayHistoryYahoo_Table1[Date],"Last")</f>
        <v>199.59</v>
      </c>
      <c r="G7" s="9">
        <f>RTD("gartle.rtd",,"rtd-mysql","quote_day_history_yahoo",QuoteDayHistoryYahoo_Table1[Symbol],QuoteDayHistoryYahoo_Table1[Date],"Change")</f>
        <v>6.97</v>
      </c>
      <c r="H7" s="10">
        <f>RTD("gartle.rtd",,"rtd-mysql","quote_day_history_yahoo",QuoteDayHistoryYahoo_Table1[Symbol],QuoteDayHistoryYahoo_Table1[Date],"PercentChange")</f>
        <v>3.6185235178070797E-2</v>
      </c>
      <c r="I7" s="8">
        <f>RTD("gartle.rtd",,"rtd-mysql","quote_day_history_yahoo",QuoteDayHistoryYahoo_Table1[Symbol],QuoteDayHistoryYahoo_Table1[Date],"Open")</f>
        <v>191.86</v>
      </c>
      <c r="J7" s="8">
        <f>RTD("gartle.rtd",,"rtd-mysql","quote_day_history_yahoo",QuoteDayHistoryYahoo_Table1[Symbol],QuoteDayHistoryYahoo_Table1[Date],"High")</f>
        <v>199.88</v>
      </c>
      <c r="K7" s="8">
        <f>RTD("gartle.rtd",,"rtd-mysql","quote_day_history_yahoo",QuoteDayHistoryYahoo_Table1[Symbol],QuoteDayHistoryYahoo_Table1[Date],"Low")</f>
        <v>191.51</v>
      </c>
      <c r="L7" s="11">
        <f>RTD("gartle.rtd",,"rtd-mysql","quote_day_history_yahoo",QuoteDayHistoryYahoo_Table1[Symbol],QuoteDayHistoryYahoo_Table1[Date],"Volume")</f>
        <v>2718990</v>
      </c>
      <c r="M7" s="7">
        <f>RTD("gartle.rtd",,"rtd-mysql","quote_day_history_yahoo",QuoteDayHistoryYahoo_Table1[Symbol],QuoteDayHistoryYahoo_Table1[Date],"LastUpdateTimeStamp")</f>
        <v>41695.187152777777</v>
      </c>
      <c r="N7" t="str">
        <f>RTD("gartle.rtd",,"rtd-mysql","quote_day_history_yahoo",QuoteDayHistoryYahoo_Table1[Symbol],QuoteDayHistoryYahoo_Table1[Date],"RTD_LastMessage")</f>
        <v/>
      </c>
    </row>
    <row r="8" spans="2:14" x14ac:dyDescent="0.25">
      <c r="B8">
        <v>4</v>
      </c>
      <c r="C8" t="s">
        <v>158</v>
      </c>
      <c r="D8" s="5">
        <v>41694</v>
      </c>
      <c r="E8" s="7">
        <f>RTD("gartle.rtd",,"rtd-mysql","quote_day_history_yahoo",QuoteDayHistoryYahoo_Table1[Symbol],QuoteDayHistoryYahoo_Table1[Date],"LastTradeTime")</f>
        <v>0.66666666666666663</v>
      </c>
      <c r="F8" s="8">
        <f>RTD("gartle.rtd",,"rtd-mysql","quote_day_history_yahoo",QuoteDayHistoryYahoo_Table1[Symbol],QuoteDayHistoryYahoo_Table1[Date],"Last")</f>
        <v>37.69</v>
      </c>
      <c r="G8" s="9">
        <f>RTD("gartle.rtd",,"rtd-mysql","quote_day_history_yahoo",QuoteDayHistoryYahoo_Table1[Symbol],QuoteDayHistoryYahoo_Table1[Date],"Change")</f>
        <v>-0.28999999999999998</v>
      </c>
      <c r="H8" s="10">
        <f>RTD("gartle.rtd",,"rtd-mysql","quote_day_history_yahoo",QuoteDayHistoryYahoo_Table1[Symbol],QuoteDayHistoryYahoo_Table1[Date],"PercentChange")</f>
        <v>-7.63559768299105E-3</v>
      </c>
      <c r="I8" s="8">
        <f>RTD("gartle.rtd",,"rtd-mysql","quote_day_history_yahoo",QuoteDayHistoryYahoo_Table1[Symbol],QuoteDayHistoryYahoo_Table1[Date],"Open")</f>
        <v>37.659999999999997</v>
      </c>
      <c r="J8" s="8">
        <f>RTD("gartle.rtd",,"rtd-mysql","quote_day_history_yahoo",QuoteDayHistoryYahoo_Table1[Symbol],QuoteDayHistoryYahoo_Table1[Date],"High")</f>
        <v>37.975000000000001</v>
      </c>
      <c r="K8" s="8">
        <f>RTD("gartle.rtd",,"rtd-mysql","quote_day_history_yahoo",QuoteDayHistoryYahoo_Table1[Symbol],QuoteDayHistoryYahoo_Table1[Date],"Low")</f>
        <v>37.54</v>
      </c>
      <c r="L8" s="11">
        <f>RTD("gartle.rtd",,"rtd-mysql","quote_day_history_yahoo",QuoteDayHistoryYahoo_Table1[Symbol],QuoteDayHistoryYahoo_Table1[Date],"Volume")</f>
        <v>31322364</v>
      </c>
      <c r="M8" s="7">
        <f>RTD("gartle.rtd",,"rtd-mysql","quote_day_history_yahoo",QuoteDayHistoryYahoo_Table1[Symbol],QuoteDayHistoryYahoo_Table1[Date],"LastUpdateTimeStamp")</f>
        <v>41695.187152777777</v>
      </c>
      <c r="N8" t="str">
        <f>RTD("gartle.rtd",,"rtd-mysql","quote_day_history_yahoo",QuoteDayHistoryYahoo_Table1[Symbol],QuoteDayHistoryYahoo_Table1[Date],"RTD_LastMessage")</f>
        <v/>
      </c>
    </row>
    <row r="9" spans="2:14" x14ac:dyDescent="0.25">
      <c r="B9">
        <v>5</v>
      </c>
      <c r="C9" t="s">
        <v>161</v>
      </c>
      <c r="D9" s="5">
        <v>41694</v>
      </c>
      <c r="E9" s="7">
        <f>RTD("gartle.rtd",,"rtd-mysql","quote_day_history_yahoo",QuoteDayHistoryYahoo_Table1[Symbol],QuoteDayHistoryYahoo_Table1[Date],"LastTradeTime")</f>
        <v>0.66736111111111107</v>
      </c>
      <c r="F9" s="8">
        <f>RTD("gartle.rtd",,"rtd-mysql","quote_day_history_yahoo",QuoteDayHistoryYahoo_Table1[Symbol],QuoteDayHistoryYahoo_Table1[Date],"Last")</f>
        <v>38.14</v>
      </c>
      <c r="G9" s="9">
        <f>RTD("gartle.rtd",,"rtd-mysql","quote_day_history_yahoo",QuoteDayHistoryYahoo_Table1[Symbol],QuoteDayHistoryYahoo_Table1[Date],"Change")</f>
        <v>0.04</v>
      </c>
      <c r="H9" s="10">
        <f>RTD("gartle.rtd",,"rtd-mysql","quote_day_history_yahoo",QuoteDayHistoryYahoo_Table1[Symbol],QuoteDayHistoryYahoo_Table1[Date],"PercentChange")</f>
        <v>1.0498687664041999E-3</v>
      </c>
      <c r="I9" s="8">
        <f>RTD("gartle.rtd",,"rtd-mysql","quote_day_history_yahoo",QuoteDayHistoryYahoo_Table1[Symbol],QuoteDayHistoryYahoo_Table1[Date],"Open")</f>
        <v>38.159999999999997</v>
      </c>
      <c r="J9" s="8">
        <f>RTD("gartle.rtd",,"rtd-mysql","quote_day_history_yahoo",QuoteDayHistoryYahoo_Table1[Symbol],QuoteDayHistoryYahoo_Table1[Date],"High")</f>
        <v>38.454999999999998</v>
      </c>
      <c r="K9" s="8">
        <f>RTD("gartle.rtd",,"rtd-mysql","quote_day_history_yahoo",QuoteDayHistoryYahoo_Table1[Symbol],QuoteDayHistoryYahoo_Table1[Date],"Low")</f>
        <v>38.04</v>
      </c>
      <c r="L9" s="11">
        <f>RTD("gartle.rtd",,"rtd-mysql","quote_day_history_yahoo",QuoteDayHistoryYahoo_Table1[Symbol],QuoteDayHistoryYahoo_Table1[Date],"Volume")</f>
        <v>10292762</v>
      </c>
      <c r="M9" s="7">
        <f>RTD("gartle.rtd",,"rtd-mysql","quote_day_history_yahoo",QuoteDayHistoryYahoo_Table1[Symbol],QuoteDayHistoryYahoo_Table1[Date],"LastUpdateTimeStamp")</f>
        <v>41695.187152777777</v>
      </c>
      <c r="N9" t="str">
        <f>RTD("gartle.rtd",,"rtd-mysql","quote_day_history_yahoo",QuoteDayHistoryYahoo_Table1[Symbol],QuoteDayHistoryYahoo_Table1[Date],"RTD_LastMessage")</f>
        <v/>
      </c>
    </row>
    <row r="10" spans="2:14" x14ac:dyDescent="0.25">
      <c r="B10">
        <v>6</v>
      </c>
      <c r="C10" t="s">
        <v>163</v>
      </c>
      <c r="D10" s="5">
        <v>41694</v>
      </c>
      <c r="E10" s="7">
        <f>RTD("gartle.rtd",,"rtd-mysql","quote_day_history_yahoo",QuoteDayHistoryYahoo_Table1[Symbol],QuoteDayHistoryYahoo_Table1[Date],"LastTradeTime")</f>
        <v>0.66666666666666663</v>
      </c>
      <c r="F10" s="8">
        <f>RTD("gartle.rtd",,"rtd-mysql","quote_day_history_yahoo",QuoteDayHistoryYahoo_Table1[Symbol],QuoteDayHistoryYahoo_Table1[Date],"Last")</f>
        <v>37.42</v>
      </c>
      <c r="G10" s="9">
        <f>RTD("gartle.rtd",,"rtd-mysql","quote_day_history_yahoo",QuoteDayHistoryYahoo_Table1[Symbol],QuoteDayHistoryYahoo_Table1[Date],"Change")</f>
        <v>0.13</v>
      </c>
      <c r="H10" s="10">
        <f>RTD("gartle.rtd",,"rtd-mysql","quote_day_history_yahoo",QuoteDayHistoryYahoo_Table1[Symbol],QuoteDayHistoryYahoo_Table1[Date],"PercentChange")</f>
        <v>3.4861893268972898E-3</v>
      </c>
      <c r="I10" s="8">
        <f>RTD("gartle.rtd",,"rtd-mysql","quote_day_history_yahoo",QuoteDayHistoryYahoo_Table1[Symbol],QuoteDayHistoryYahoo_Table1[Date],"Open")</f>
        <v>37.119999999999997</v>
      </c>
      <c r="J10" s="8">
        <f>RTD("gartle.rtd",,"rtd-mysql","quote_day_history_yahoo",QuoteDayHistoryYahoo_Table1[Symbol],QuoteDayHistoryYahoo_Table1[Date],"High")</f>
        <v>37.71</v>
      </c>
      <c r="K10" s="8">
        <f>RTD("gartle.rtd",,"rtd-mysql","quote_day_history_yahoo",QuoteDayHistoryYahoo_Table1[Symbol],QuoteDayHistoryYahoo_Table1[Date],"Low")</f>
        <v>36.82</v>
      </c>
      <c r="L10" s="11">
        <f>RTD("gartle.rtd",,"rtd-mysql","quote_day_history_yahoo",QuoteDayHistoryYahoo_Table1[Symbol],QuoteDayHistoryYahoo_Table1[Date],"Volume")</f>
        <v>15676729</v>
      </c>
      <c r="M10" s="7">
        <f>RTD("gartle.rtd",,"rtd-mysql","quote_day_history_yahoo",QuoteDayHistoryYahoo_Table1[Symbol],QuoteDayHistoryYahoo_Table1[Date],"LastUpdateTimeStamp")</f>
        <v>41695.187152777777</v>
      </c>
      <c r="N10" t="str">
        <f>RTD("gartle.rtd",,"rtd-mysql","quote_day_history_yahoo",QuoteDayHistoryYahoo_Table1[Symbol],QuoteDayHistoryYahoo_Table1[Date],"RTD_LastMessage")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  <pageSetUpPr fitToPage="1"/>
  </sheetPr>
  <dimension ref="B3:J10"/>
  <sheetViews>
    <sheetView showGridLines="0" workbookViewId="0">
      <pane ySplit="3" topLeftCell="A4" activePane="bottomLeft" state="frozen"/>
      <selection activeCell="B4" sqref="B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7" customWidth="1"/>
    <col min="5" max="5" width="16.140625" customWidth="1"/>
    <col min="6" max="6" width="28.7109375" customWidth="1"/>
    <col min="7" max="7" width="21" customWidth="1"/>
    <col min="8" max="8" width="12.42578125" customWidth="1"/>
    <col min="9" max="9" width="11.5703125" customWidth="1"/>
    <col min="10" max="10" width="21.42578125" customWidth="1"/>
  </cols>
  <sheetData>
    <row r="3" spans="2:10" x14ac:dyDescent="0.25">
      <c r="B3" t="s">
        <v>9</v>
      </c>
      <c r="C3" t="s">
        <v>14</v>
      </c>
      <c r="D3" t="s">
        <v>115</v>
      </c>
      <c r="E3" t="s">
        <v>152</v>
      </c>
      <c r="F3" t="s">
        <v>153</v>
      </c>
      <c r="G3" t="s">
        <v>154</v>
      </c>
      <c r="H3" t="s">
        <v>155</v>
      </c>
      <c r="I3" t="s">
        <v>156</v>
      </c>
      <c r="J3" t="s">
        <v>27</v>
      </c>
    </row>
    <row r="4" spans="2:10" x14ac:dyDescent="0.25">
      <c r="B4">
        <v>0</v>
      </c>
      <c r="C4" t="s">
        <v>160</v>
      </c>
      <c r="D4" t="e">
        <f>RTD("gartle.rtd",,"rtd-mysql","stocks_yahoo",StocksYahoo_Table1[Symbol],"CompanyName")</f>
        <v>#N/A</v>
      </c>
      <c r="E4" t="str">
        <f>RTD("gartle.rtd",,"rtd-mysql","stocks_yahoo",StocksYahoo_Table1[Symbol],"Sector")</f>
        <v>Consumer Goods</v>
      </c>
      <c r="F4" t="str">
        <f>RTD("gartle.rtd",,"rtd-mysql","stocks_yahoo",StocksYahoo_Table1[Symbol],"Industry")</f>
        <v>Electronic Equipment</v>
      </c>
      <c r="G4" s="11">
        <f>RTD("gartle.rtd",,"rtd-mysql","stocks_yahoo",StocksYahoo_Table1[Symbol],"FullTimeEmployees")</f>
        <v>80300</v>
      </c>
      <c r="H4" s="5" t="e">
        <f>RTD("gartle.rtd",,"rtd-mysql","stocks_yahoo",StocksYahoo_Table1[Symbol],"TradeStart")</f>
        <v>#N/A</v>
      </c>
      <c r="I4" s="5">
        <f>RTD("gartle.rtd",,"rtd-mysql","stocks_yahoo",StocksYahoo_Table1[Symbol],"TradeEnd")</f>
        <v>41694</v>
      </c>
      <c r="J4" s="7">
        <f>RTD("gartle.rtd",,"rtd-mysql","stocks_yahoo",StocksYahoo_Table1[Symbol],"LastUpdateTimeStamp")</f>
        <v>41695.187152777777</v>
      </c>
    </row>
    <row r="5" spans="2:10" x14ac:dyDescent="0.25">
      <c r="B5">
        <v>1</v>
      </c>
      <c r="C5" t="s">
        <v>159</v>
      </c>
      <c r="D5" t="e">
        <f>RTD("gartle.rtd",,"rtd-mysql","stocks_yahoo",StocksYahoo_Table1[Symbol],"CompanyName")</f>
        <v>#N/A</v>
      </c>
      <c r="E5" t="str">
        <f>RTD("gartle.rtd",,"rtd-mysql","stocks_yahoo",StocksYahoo_Table1[Symbol],"Sector")</f>
        <v>Technology</v>
      </c>
      <c r="F5" t="str">
        <f>RTD("gartle.rtd",,"rtd-mysql","stocks_yahoo",StocksYahoo_Table1[Symbol],"Industry")</f>
        <v>Internet Information Providers</v>
      </c>
      <c r="G5" s="11">
        <f>RTD("gartle.rtd",,"rtd-mysql","stocks_yahoo",StocksYahoo_Table1[Symbol],"FullTimeEmployees")</f>
        <v>6337</v>
      </c>
      <c r="H5" s="5">
        <f>RTD("gartle.rtd",,"rtd-mysql","stocks_yahoo",StocksYahoo_Table1[Symbol],"TradeStart")</f>
        <v>41047</v>
      </c>
      <c r="I5" s="5">
        <f>RTD("gartle.rtd",,"rtd-mysql","stocks_yahoo",StocksYahoo_Table1[Symbol],"TradeEnd")</f>
        <v>41694</v>
      </c>
      <c r="J5" s="7">
        <f>RTD("gartle.rtd",,"rtd-mysql","stocks_yahoo",StocksYahoo_Table1[Symbol],"LastUpdateTimeStamp")</f>
        <v>41695.187152777777</v>
      </c>
    </row>
    <row r="6" spans="2:10" x14ac:dyDescent="0.25">
      <c r="B6">
        <v>2</v>
      </c>
      <c r="C6" t="s">
        <v>157</v>
      </c>
      <c r="D6" t="e">
        <f>RTD("gartle.rtd",,"rtd-mysql","stocks_yahoo",StocksYahoo_Table1[Symbol],"CompanyName")</f>
        <v>#N/A</v>
      </c>
      <c r="E6" t="str">
        <f>RTD("gartle.rtd",,"rtd-mysql","stocks_yahoo",StocksYahoo_Table1[Symbol],"Sector")</f>
        <v>Technology</v>
      </c>
      <c r="F6" t="str">
        <f>RTD("gartle.rtd",,"rtd-mysql","stocks_yahoo",StocksYahoo_Table1[Symbol],"Industry")</f>
        <v>Internet Information Providers</v>
      </c>
      <c r="G6" s="11">
        <f>RTD("gartle.rtd",,"rtd-mysql","stocks_yahoo",StocksYahoo_Table1[Symbol],"FullTimeEmployees")</f>
        <v>47756</v>
      </c>
      <c r="H6" s="5">
        <f>RTD("gartle.rtd",,"rtd-mysql","stocks_yahoo",StocksYahoo_Table1[Symbol],"TradeStart")</f>
        <v>38218</v>
      </c>
      <c r="I6" s="5">
        <f>RTD("gartle.rtd",,"rtd-mysql","stocks_yahoo",StocksYahoo_Table1[Symbol],"TradeEnd")</f>
        <v>41694</v>
      </c>
      <c r="J6" s="7">
        <f>RTD("gartle.rtd",,"rtd-mysql","stocks_yahoo",StocksYahoo_Table1[Symbol],"LastUpdateTimeStamp")</f>
        <v>41695.187152777777</v>
      </c>
    </row>
    <row r="7" spans="2:10" x14ac:dyDescent="0.25">
      <c r="B7">
        <v>3</v>
      </c>
      <c r="C7" t="s">
        <v>162</v>
      </c>
      <c r="D7" t="e">
        <f>RTD("gartle.rtd",,"rtd-mysql","stocks_yahoo",StocksYahoo_Table1[Symbol],"CompanyName")</f>
        <v>#N/A</v>
      </c>
      <c r="E7" t="str">
        <f>RTD("gartle.rtd",,"rtd-mysql","stocks_yahoo",StocksYahoo_Table1[Symbol],"Sector")</f>
        <v>Technology</v>
      </c>
      <c r="F7" t="str">
        <f>RTD("gartle.rtd",,"rtd-mysql","stocks_yahoo",StocksYahoo_Table1[Symbol],"Industry")</f>
        <v>Internet Information Providers</v>
      </c>
      <c r="G7" s="11">
        <f>RTD("gartle.rtd",,"rtd-mysql","stocks_yahoo",StocksYahoo_Table1[Symbol],"FullTimeEmployees")</f>
        <v>5045</v>
      </c>
      <c r="H7" s="5">
        <f>RTD("gartle.rtd",,"rtd-mysql","stocks_yahoo",StocksYahoo_Table1[Symbol],"TradeStart")</f>
        <v>40682</v>
      </c>
      <c r="I7" s="5">
        <f>RTD("gartle.rtd",,"rtd-mysql","stocks_yahoo",StocksYahoo_Table1[Symbol],"TradeEnd")</f>
        <v>41694</v>
      </c>
      <c r="J7" s="7">
        <f>RTD("gartle.rtd",,"rtd-mysql","stocks_yahoo",StocksYahoo_Table1[Symbol],"LastUpdateTimeStamp")</f>
        <v>41695.187152777777</v>
      </c>
    </row>
    <row r="8" spans="2:10" x14ac:dyDescent="0.25">
      <c r="B8">
        <v>4</v>
      </c>
      <c r="C8" t="s">
        <v>158</v>
      </c>
      <c r="D8" t="e">
        <f>RTD("gartle.rtd",,"rtd-mysql","stocks_yahoo",StocksYahoo_Table1[Symbol],"CompanyName")</f>
        <v>#N/A</v>
      </c>
      <c r="E8" t="str">
        <f>RTD("gartle.rtd",,"rtd-mysql","stocks_yahoo",StocksYahoo_Table1[Symbol],"Sector")</f>
        <v>Technology</v>
      </c>
      <c r="F8" t="str">
        <f>RTD("gartle.rtd",,"rtd-mysql","stocks_yahoo",StocksYahoo_Table1[Symbol],"Industry")</f>
        <v>Business Software &amp; Services</v>
      </c>
      <c r="G8" s="11">
        <f>RTD("gartle.rtd",,"rtd-mysql","stocks_yahoo",StocksYahoo_Table1[Symbol],"FullTimeEmployees")</f>
        <v>99000</v>
      </c>
      <c r="H8" s="5">
        <f>RTD("gartle.rtd",,"rtd-mysql","stocks_yahoo",StocksYahoo_Table1[Symbol],"TradeStart")</f>
        <v>31484</v>
      </c>
      <c r="I8" s="5">
        <f>RTD("gartle.rtd",,"rtd-mysql","stocks_yahoo",StocksYahoo_Table1[Symbol],"TradeEnd")</f>
        <v>41694</v>
      </c>
      <c r="J8" s="7">
        <f>RTD("gartle.rtd",,"rtd-mysql","stocks_yahoo",StocksYahoo_Table1[Symbol],"LastUpdateTimeStamp")</f>
        <v>41695.187152777777</v>
      </c>
    </row>
    <row r="9" spans="2:10" x14ac:dyDescent="0.25">
      <c r="B9">
        <v>5</v>
      </c>
      <c r="C9" t="s">
        <v>161</v>
      </c>
      <c r="D9" t="e">
        <f>RTD("gartle.rtd",,"rtd-mysql","stocks_yahoo",StocksYahoo_Table1[Symbol],"CompanyName")</f>
        <v>#N/A</v>
      </c>
      <c r="E9" t="str">
        <f>RTD("gartle.rtd",,"rtd-mysql","stocks_yahoo",StocksYahoo_Table1[Symbol],"Sector")</f>
        <v>Technology</v>
      </c>
      <c r="F9" t="str">
        <f>RTD("gartle.rtd",,"rtd-mysql","stocks_yahoo",StocksYahoo_Table1[Symbol],"Industry")</f>
        <v>Application Software</v>
      </c>
      <c r="G9" s="11">
        <f>RTD("gartle.rtd",,"rtd-mysql","stocks_yahoo",StocksYahoo_Table1[Symbol],"FullTimeEmployees")</f>
        <v>120000</v>
      </c>
      <c r="H9" s="5">
        <f>RTD("gartle.rtd",,"rtd-mysql","stocks_yahoo",StocksYahoo_Table1[Symbol],"TradeStart")</f>
        <v>32204</v>
      </c>
      <c r="I9" s="5">
        <f>RTD("gartle.rtd",,"rtd-mysql","stocks_yahoo",StocksYahoo_Table1[Symbol],"TradeEnd")</f>
        <v>41694</v>
      </c>
      <c r="J9" s="7">
        <f>RTD("gartle.rtd",,"rtd-mysql","stocks_yahoo",StocksYahoo_Table1[Symbol],"LastUpdateTimeStamp")</f>
        <v>41695.187152777777</v>
      </c>
    </row>
    <row r="10" spans="2:10" x14ac:dyDescent="0.25">
      <c r="B10">
        <v>6</v>
      </c>
      <c r="C10" t="s">
        <v>163</v>
      </c>
      <c r="D10" t="e">
        <f>RTD("gartle.rtd",,"rtd-mysql","stocks_yahoo",StocksYahoo_Table1[Symbol],"CompanyName")</f>
        <v>#N/A</v>
      </c>
      <c r="E10" t="str">
        <f>RTD("gartle.rtd",,"rtd-mysql","stocks_yahoo",StocksYahoo_Table1[Symbol],"Sector")</f>
        <v>Technology</v>
      </c>
      <c r="F10" t="str">
        <f>RTD("gartle.rtd",,"rtd-mysql","stocks_yahoo",StocksYahoo_Table1[Symbol],"Industry")</f>
        <v>Internet Information Providers</v>
      </c>
      <c r="G10" s="11" t="e">
        <f>RTD("gartle.rtd",,"rtd-mysql","stocks_yahoo",StocksYahoo_Table1[Symbol],"FullTimeEmployees")</f>
        <v>#N/A</v>
      </c>
      <c r="H10" s="5">
        <f>RTD("gartle.rtd",,"rtd-mysql","stocks_yahoo",StocksYahoo_Table1[Symbol],"TradeStart")</f>
        <v>35167</v>
      </c>
      <c r="I10" s="5">
        <f>RTD("gartle.rtd",,"rtd-mysql","stocks_yahoo",StocksYahoo_Table1[Symbol],"TradeEnd")</f>
        <v>41694</v>
      </c>
      <c r="J10" s="7">
        <f>RTD("gartle.rtd",,"rtd-mysql","stocks_yahoo",StocksYahoo_Table1[Symbol],"LastUpdateTimeStamp")</f>
        <v>41695.187152777777</v>
      </c>
    </row>
  </sheetData>
  <conditionalFormatting sqref="G4:G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6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E4" sqref="E4"/>
    </sheetView>
  </sheetViews>
  <sheetFormatPr defaultRowHeight="15" x14ac:dyDescent="0.25"/>
  <cols>
    <col min="1" max="1" width="2.5703125" customWidth="1"/>
    <col min="2" max="2" width="30.5703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10.425781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70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80</v>
      </c>
      <c r="N3" t="s">
        <v>81</v>
      </c>
      <c r="O3" t="s">
        <v>82</v>
      </c>
      <c r="P3" t="s">
        <v>83</v>
      </c>
      <c r="Q3" t="s">
        <v>84</v>
      </c>
      <c r="R3" t="s">
        <v>85</v>
      </c>
      <c r="S3" t="s">
        <v>86</v>
      </c>
      <c r="T3" t="s">
        <v>87</v>
      </c>
      <c r="U3" t="s">
        <v>88</v>
      </c>
      <c r="V3" t="s">
        <v>89</v>
      </c>
      <c r="W3" t="s">
        <v>90</v>
      </c>
      <c r="X3" t="s">
        <v>91</v>
      </c>
      <c r="Y3" t="s">
        <v>92</v>
      </c>
      <c r="Z3" t="s">
        <v>93</v>
      </c>
      <c r="AA3" t="s">
        <v>94</v>
      </c>
      <c r="AB3" t="s">
        <v>95</v>
      </c>
      <c r="AC3" t="s">
        <v>96</v>
      </c>
      <c r="AD3" t="s">
        <v>97</v>
      </c>
      <c r="AE3" t="s">
        <v>98</v>
      </c>
      <c r="AF3" t="s">
        <v>99</v>
      </c>
      <c r="AG3" t="s">
        <v>100</v>
      </c>
      <c r="AH3" t="s">
        <v>101</v>
      </c>
      <c r="AI3" t="s">
        <v>102</v>
      </c>
      <c r="AJ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t="s">
        <v>109</v>
      </c>
      <c r="AQ3" t="s">
        <v>110</v>
      </c>
      <c r="AR3" t="s">
        <v>111</v>
      </c>
      <c r="AS3" t="s">
        <v>112</v>
      </c>
      <c r="AT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>
        <v>0</v>
      </c>
      <c r="C4" t="s">
        <v>160</v>
      </c>
      <c r="D4" s="5">
        <f>RTD("gartle.rtd",,"rtd-mysql","fundamentals_yahoo",FundamentalsYahoo_Table1[Symbol],"LastTradeDate")</f>
        <v>41694</v>
      </c>
      <c r="E4" s="7">
        <f>RTD("gartle.rtd",,"rtd-mysql","fundamentals_yahoo",FundamentalsYahoo_Table1[Symbol],"LastTradeTime")</f>
        <v>0.66666666666666663</v>
      </c>
      <c r="F4" s="8">
        <f>RTD("gartle.rtd",,"rtd-mysql","fundamentals_yahoo",FundamentalsYahoo_Table1[Symbol],"Last")</f>
        <v>527.54999999999995</v>
      </c>
      <c r="G4" s="9">
        <f>RTD("gartle.rtd",,"rtd-mysql","fundamentals_yahoo",FundamentalsYahoo_Table1[Symbol],"Change")</f>
        <v>2.2999999999999998</v>
      </c>
      <c r="H4" s="10">
        <f>RTD("gartle.rtd",,"rtd-mysql","fundamentals_yahoo",FundamentalsYahoo_Table1[Symbol],"PercentChange")</f>
        <v>4.4000000000000003E-3</v>
      </c>
      <c r="I4" s="8">
        <f>RTD("gartle.rtd",,"rtd-mysql","fundamentals_yahoo",FundamentalsYahoo_Table1[Symbol],"Open")</f>
        <v>523.04</v>
      </c>
      <c r="J4" s="8">
        <f>RTD("gartle.rtd",,"rtd-mysql","fundamentals_yahoo",FundamentalsYahoo_Table1[Symbol],"High")</f>
        <v>529.91989999999998</v>
      </c>
      <c r="K4" s="8">
        <f>RTD("gartle.rtd",,"rtd-mysql","fundamentals_yahoo",FundamentalsYahoo_Table1[Symbol],"Low")</f>
        <v>522.41999999999996</v>
      </c>
      <c r="L4" s="11">
        <f>RTD("gartle.rtd",,"rtd-mysql","fundamentals_yahoo",FundamentalsYahoo_Table1[Symbol],"Volume")</f>
        <v>10135133</v>
      </c>
      <c r="M4" t="str">
        <f>RTD("gartle.rtd",,"rtd-mysql","fundamentals_yahoo",FundamentalsYahoo_Table1[Symbol],"DaysRange")</f>
        <v>522.42 - 529.9199</v>
      </c>
      <c r="N4" s="8">
        <f>RTD("gartle.rtd",,"rtd-mysql","fundamentals_yahoo",FundamentalsYahoo_Table1[Symbol],"PrevClose")</f>
        <v>525.25</v>
      </c>
      <c r="O4">
        <f>RTD("gartle.rtd",,"rtd-mysql","fundamentals_yahoo",FundamentalsYahoo_Table1[Symbol],"ShortRatio")</f>
        <v>1.1000000000000001</v>
      </c>
      <c r="P4" s="8">
        <f>RTD("gartle.rtd",,"rtd-mysql","fundamentals_yahoo",FundamentalsYahoo_Table1[Symbol],"YearHigh")</f>
        <v>575.14</v>
      </c>
      <c r="Q4" s="8">
        <f>RTD("gartle.rtd",,"rtd-mysql","fundamentals_yahoo",FundamentalsYahoo_Table1[Symbol],"YearLow")</f>
        <v>385.1</v>
      </c>
      <c r="R4" t="str">
        <f>RTD("gartle.rtd",,"rtd-mysql","fundamentals_yahoo",FundamentalsYahoo_Table1[Symbol],"YearRange")</f>
        <v>385.10 - 575.14</v>
      </c>
      <c r="S4" s="12">
        <f>RTD("gartle.rtd",,"rtd-mysql","fundamentals_yahoo",FundamentalsYahoo_Table1[Symbol],"ChangeFromYearHigh")</f>
        <v>-47.59</v>
      </c>
      <c r="T4" s="12">
        <f>RTD("gartle.rtd",,"rtd-mysql","fundamentals_yahoo",FundamentalsYahoo_Table1[Symbol],"ChangeFromYearLow")</f>
        <v>142.44999999999999</v>
      </c>
      <c r="U4" s="10">
        <f>RTD("gartle.rtd",,"rtd-mysql","fundamentals_yahoo",FundamentalsYahoo_Table1[Symbol],"PercentChangeFromYearHigh")</f>
        <v>-8.2699999999999996E-2</v>
      </c>
      <c r="V4" s="10">
        <f>RTD("gartle.rtd",,"rtd-mysql","fundamentals_yahoo",FundamentalsYahoo_Table1[Symbol],"PercentChangeFromYearLow")</f>
        <v>0.36990000000000001</v>
      </c>
      <c r="W4" s="8">
        <f>RTD("gartle.rtd",,"rtd-mysql","fundamentals_yahoo",FundamentalsYahoo_Table1[Symbol],"MA50")</f>
        <v>532.86400000000003</v>
      </c>
      <c r="X4" s="8">
        <f>RTD("gartle.rtd",,"rtd-mysql","fundamentals_yahoo",FundamentalsYahoo_Table1[Symbol],"MA200")</f>
        <v>517.43700000000001</v>
      </c>
      <c r="Y4" s="12">
        <f>RTD("gartle.rtd",,"rtd-mysql","fundamentals_yahoo",FundamentalsYahoo_Table1[Symbol],"ChangeFromMA50")</f>
        <v>-5.3140000000000001</v>
      </c>
      <c r="Z4" s="12">
        <f>RTD("gartle.rtd",,"rtd-mysql","fundamentals_yahoo",FundamentalsYahoo_Table1[Symbol],"ChangeFromMA200")</f>
        <v>10.113</v>
      </c>
      <c r="AA4" s="10">
        <f>RTD("gartle.rtd",,"rtd-mysql","fundamentals_yahoo",FundamentalsYahoo_Table1[Symbol],"PercentChangeFromMA50")</f>
        <v>-0.01</v>
      </c>
      <c r="AB4" s="10">
        <f>RTD("gartle.rtd",,"rtd-mysql","fundamentals_yahoo",FundamentalsYahoo_Table1[Symbol],"PercentChangeFromMA200")</f>
        <v>1.95E-2</v>
      </c>
      <c r="AC4" s="11">
        <f>RTD("gartle.rtd",,"rtd-mysql","fundamentals_yahoo",FundamentalsYahoo_Table1[Symbol],"AverageDailyVolume")</f>
        <v>12745300</v>
      </c>
      <c r="AD4" s="8">
        <f>RTD("gartle.rtd",,"rtd-mysql","fundamentals_yahoo",FundamentalsYahoo_Table1[Symbol],"OneYearTargetPrice")</f>
        <v>585.32000000000005</v>
      </c>
      <c r="AE4">
        <f>RTD("gartle.rtd",,"rtd-mysql","fundamentals_yahoo",FundamentalsYahoo_Table1[Symbol],"PE")</f>
        <v>13.06</v>
      </c>
      <c r="AF4">
        <f>RTD("gartle.rtd",,"rtd-mysql","fundamentals_yahoo",FundamentalsYahoo_Table1[Symbol],"PEG")</f>
        <v>0.63</v>
      </c>
      <c r="AG4">
        <f>RTD("gartle.rtd",,"rtd-mysql","fundamentals_yahoo",FundamentalsYahoo_Table1[Symbol],"EPSEstCurrentYear")</f>
        <v>42.77</v>
      </c>
      <c r="AH4">
        <f>RTD("gartle.rtd",,"rtd-mysql","fundamentals_yahoo",FundamentalsYahoo_Table1[Symbol],"EPSEstNextQuarter")</f>
        <v>8.61</v>
      </c>
      <c r="AI4">
        <f>RTD("gartle.rtd",,"rtd-mysql","fundamentals_yahoo",FundamentalsYahoo_Table1[Symbol],"EPSEstNextYear")</f>
        <v>46.22</v>
      </c>
      <c r="AJ4">
        <f>RTD("gartle.rtd",,"rtd-mysql","fundamentals_yahoo",FundamentalsYahoo_Table1[Symbol],"EarningsShare")</f>
        <v>40.232999999999997</v>
      </c>
      <c r="AK4" t="str">
        <f>RTD("gartle.rtd",,"rtd-mysql","fundamentals_yahoo",FundamentalsYahoo_Table1[Symbol],"MarketCap")</f>
        <v>470.6B</v>
      </c>
      <c r="AL4">
        <f>RTD("gartle.rtd",,"rtd-mysql","fundamentals_yahoo",FundamentalsYahoo_Table1[Symbol],"DividendYield")</f>
        <v>2.3199999999999998</v>
      </c>
      <c r="AM4">
        <f>RTD("gartle.rtd",,"rtd-mysql","fundamentals_yahoo",FundamentalsYahoo_Table1[Symbol],"DividendShare")</f>
        <v>12.2</v>
      </c>
      <c r="AN4" t="str">
        <f>RTD("gartle.rtd",,"rtd-mysql","fundamentals_yahoo",FundamentalsYahoo_Table1[Symbol],"ExDividendDate")</f>
        <v>Feb  6</v>
      </c>
      <c r="AO4" t="str">
        <f>RTD("gartle.rtd",,"rtd-mysql","fundamentals_yahoo",FundamentalsYahoo_Table1[Symbol],"DividendPayDate")</f>
        <v>Feb 13</v>
      </c>
      <c r="AP4">
        <f>RTD("gartle.rtd",,"rtd-mysql","fundamentals_yahoo",FundamentalsYahoo_Table1[Symbol],"BookValue")</f>
        <v>145.31299999999999</v>
      </c>
      <c r="AQ4">
        <f>RTD("gartle.rtd",,"rtd-mysql","fundamentals_yahoo",FundamentalsYahoo_Table1[Symbol],"PriceBook")</f>
        <v>3.61</v>
      </c>
      <c r="AR4">
        <f>RTD("gartle.rtd",,"rtd-mysql","fundamentals_yahoo",FundamentalsYahoo_Table1[Symbol],"PriceSales")</f>
        <v>2.69</v>
      </c>
      <c r="AS4">
        <f>RTD("gartle.rtd",,"rtd-mysql","fundamentals_yahoo",FundamentalsYahoo_Table1[Symbol],"PriceEPSEstCurrentYear")</f>
        <v>12.28</v>
      </c>
      <c r="AT4">
        <f>RTD("gartle.rtd",,"rtd-mysql","fundamentals_yahoo",FundamentalsYahoo_Table1[Symbol],"PriceEPSEstNextYear")</f>
        <v>11.36</v>
      </c>
      <c r="AU4" t="str">
        <f>RTD("gartle.rtd",,"rtd-mysql","fundamentals_yahoo",FundamentalsYahoo_Table1[Symbol],"EBITDA")</f>
        <v>56.565B</v>
      </c>
      <c r="AV4" t="str">
        <f>RTD("gartle.rtd",,"rtd-mysql","fundamentals_yahoo",FundamentalsYahoo_Table1[Symbol],"CompanyName")</f>
        <v>Apple Inc.</v>
      </c>
      <c r="AW4" t="str">
        <f>RTD("gartle.rtd",,"rtd-mysql","fundamentals_yahoo",FundamentalsYahoo_Table1[Symbol],"StockExchange")</f>
        <v>NasdaqNM</v>
      </c>
      <c r="AX4" t="e">
        <f>RTD("gartle.rtd",,"rtd-mysql","fundamentals_yahoo",FundamentalsYahoo_Table1[Symbol],"Commission")</f>
        <v>#N/A</v>
      </c>
      <c r="AY4" t="e">
        <f>RTD("gartle.rtd",,"rtd-mysql","fundamentals_yahoo",FundamentalsYahoo_Table1[Symbol],"Notes")</f>
        <v>#N/A</v>
      </c>
      <c r="AZ4" s="7">
        <f>RTD("gartle.rtd",,"rtd-mysql","fundamentals_yahoo",FundamentalsYahoo_Table1[Symbol],"LastUpdateTimeStamp")</f>
        <v>41695.187141203707</v>
      </c>
      <c r="BA4" t="str">
        <f>RTD("gartle.rtd",,"rtd-mysql","fundamentals_yahoo",FundamentalsYahoo_Table1[Symbol],"RTD_LastMessage")</f>
        <v/>
      </c>
    </row>
    <row r="5" spans="2:53" x14ac:dyDescent="0.25">
      <c r="B5">
        <v>1</v>
      </c>
      <c r="C5" t="s">
        <v>159</v>
      </c>
      <c r="D5" s="5">
        <f>RTD("gartle.rtd",,"rtd-mysql","fundamentals_yahoo",FundamentalsYahoo_Table1[Symbol],"LastTradeDate")</f>
        <v>41694</v>
      </c>
      <c r="E5" s="7">
        <f>RTD("gartle.rtd",,"rtd-mysql","fundamentals_yahoo",FundamentalsYahoo_Table1[Symbol],"LastTradeTime")</f>
        <v>0.66666666666666663</v>
      </c>
      <c r="F5" s="8">
        <f>RTD("gartle.rtd",,"rtd-mysql","fundamentals_yahoo",FundamentalsYahoo_Table1[Symbol],"Last")</f>
        <v>70.78</v>
      </c>
      <c r="G5" s="9">
        <f>RTD("gartle.rtd",,"rtd-mysql","fundamentals_yahoo",FundamentalsYahoo_Table1[Symbol],"Change")</f>
        <v>2.19</v>
      </c>
      <c r="H5" s="10">
        <f>RTD("gartle.rtd",,"rtd-mysql","fundamentals_yahoo",FundamentalsYahoo_Table1[Symbol],"PercentChange")</f>
        <v>3.1899999999999998E-2</v>
      </c>
      <c r="I5" s="8">
        <f>RTD("gartle.rtd",,"rtd-mysql","fundamentals_yahoo",FundamentalsYahoo_Table1[Symbol],"Open")</f>
        <v>68.75</v>
      </c>
      <c r="J5" s="8">
        <f>RTD("gartle.rtd",,"rtd-mysql","fundamentals_yahoo",FundamentalsYahoo_Table1[Symbol],"High")</f>
        <v>71.44</v>
      </c>
      <c r="K5" s="8">
        <f>RTD("gartle.rtd",,"rtd-mysql","fundamentals_yahoo",FundamentalsYahoo_Table1[Symbol],"Low")</f>
        <v>68.540000000000006</v>
      </c>
      <c r="L5" s="11">
        <f>RTD("gartle.rtd",,"rtd-mysql","fundamentals_yahoo",FundamentalsYahoo_Table1[Symbol],"Volume")</f>
        <v>76457640</v>
      </c>
      <c r="M5" t="str">
        <f>RTD("gartle.rtd",,"rtd-mysql","fundamentals_yahoo",FundamentalsYahoo_Table1[Symbol],"DaysRange")</f>
        <v>68.54 - 71.44</v>
      </c>
      <c r="N5" s="8">
        <f>RTD("gartle.rtd",,"rtd-mysql","fundamentals_yahoo",FundamentalsYahoo_Table1[Symbol],"PrevClose")</f>
        <v>68.59</v>
      </c>
      <c r="O5">
        <f>RTD("gartle.rtd",,"rtd-mysql","fundamentals_yahoo",FundamentalsYahoo_Table1[Symbol],"ShortRatio")</f>
        <v>0.6</v>
      </c>
      <c r="P5" s="8">
        <f>RTD("gartle.rtd",,"rtd-mysql","fundamentals_yahoo",FundamentalsYahoo_Table1[Symbol],"YearHigh")</f>
        <v>70.11</v>
      </c>
      <c r="Q5" s="8">
        <f>RTD("gartle.rtd",,"rtd-mysql","fundamentals_yahoo",FundamentalsYahoo_Table1[Symbol],"YearLow")</f>
        <v>22.67</v>
      </c>
      <c r="R5" t="str">
        <f>RTD("gartle.rtd",,"rtd-mysql","fundamentals_yahoo",FundamentalsYahoo_Table1[Symbol],"YearRange")</f>
        <v>22.67 - 70.11</v>
      </c>
      <c r="S5" s="12">
        <f>RTD("gartle.rtd",,"rtd-mysql","fundamentals_yahoo",FundamentalsYahoo_Table1[Symbol],"ChangeFromYearHigh")</f>
        <v>0.67</v>
      </c>
      <c r="T5" s="12">
        <f>RTD("gartle.rtd",,"rtd-mysql","fundamentals_yahoo",FundamentalsYahoo_Table1[Symbol],"ChangeFromYearLow")</f>
        <v>48.11</v>
      </c>
      <c r="U5" s="10">
        <f>RTD("gartle.rtd",,"rtd-mysql","fundamentals_yahoo",FundamentalsYahoo_Table1[Symbol],"PercentChangeFromYearHigh")</f>
        <v>9.5999999999999992E-3</v>
      </c>
      <c r="V5" s="10">
        <f>RTD("gartle.rtd",,"rtd-mysql","fundamentals_yahoo",FundamentalsYahoo_Table1[Symbol],"PercentChangeFromYearLow")</f>
        <v>2.1221999999999999</v>
      </c>
      <c r="W5" s="8">
        <f>RTD("gartle.rtd",,"rtd-mysql","fundamentals_yahoo",FundamentalsYahoo_Table1[Symbol],"MA50")</f>
        <v>60.427300000000002</v>
      </c>
      <c r="X5" s="8">
        <f>RTD("gartle.rtd",,"rtd-mysql","fundamentals_yahoo",FundamentalsYahoo_Table1[Symbol],"MA200")</f>
        <v>50.5473</v>
      </c>
      <c r="Y5" s="12">
        <f>RTD("gartle.rtd",,"rtd-mysql","fundamentals_yahoo",FundamentalsYahoo_Table1[Symbol],"ChangeFromMA50")</f>
        <v>10.3527</v>
      </c>
      <c r="Z5" s="12">
        <f>RTD("gartle.rtd",,"rtd-mysql","fundamentals_yahoo",FundamentalsYahoo_Table1[Symbol],"ChangeFromMA200")</f>
        <v>20.232700000000001</v>
      </c>
      <c r="AA5" s="10">
        <f>RTD("gartle.rtd",,"rtd-mysql","fundamentals_yahoo",FundamentalsYahoo_Table1[Symbol],"PercentChangeFromMA50")</f>
        <v>0.17130000000000001</v>
      </c>
      <c r="AB5" s="10">
        <f>RTD("gartle.rtd",,"rtd-mysql","fundamentals_yahoo",FundamentalsYahoo_Table1[Symbol],"PercentChangeFromMA200")</f>
        <v>0.40029999999999999</v>
      </c>
      <c r="AC5" s="11">
        <f>RTD("gartle.rtd",,"rtd-mysql","fundamentals_yahoo",FundamentalsYahoo_Table1[Symbol],"AverageDailyVolume")</f>
        <v>63988700</v>
      </c>
      <c r="AD5" s="8">
        <f>RTD("gartle.rtd",,"rtd-mysql","fundamentals_yahoo",FundamentalsYahoo_Table1[Symbol],"OneYearTargetPrice")</f>
        <v>70.040000000000006</v>
      </c>
      <c r="AE5">
        <f>RTD("gartle.rtd",,"rtd-mysql","fundamentals_yahoo",FundamentalsYahoo_Table1[Symbol],"PE")</f>
        <v>112.26</v>
      </c>
      <c r="AF5">
        <f>RTD("gartle.rtd",,"rtd-mysql","fundamentals_yahoo",FundamentalsYahoo_Table1[Symbol],"PEG")</f>
        <v>1.7</v>
      </c>
      <c r="AG5">
        <f>RTD("gartle.rtd",,"rtd-mysql","fundamentals_yahoo",FundamentalsYahoo_Table1[Symbol],"EPSEstCurrentYear")</f>
        <v>1.25</v>
      </c>
      <c r="AH5">
        <f>RTD("gartle.rtd",,"rtd-mysql","fundamentals_yahoo",FundamentalsYahoo_Table1[Symbol],"EPSEstNextQuarter")</f>
        <v>0.28000000000000003</v>
      </c>
      <c r="AI5">
        <f>RTD("gartle.rtd",,"rtd-mysql","fundamentals_yahoo",FundamentalsYahoo_Table1[Symbol],"EPSEstNextYear")</f>
        <v>1.68</v>
      </c>
      <c r="AJ5">
        <f>RTD("gartle.rtd",,"rtd-mysql","fundamentals_yahoo",FundamentalsYahoo_Table1[Symbol],"EarningsShare")</f>
        <v>0.61099999999999999</v>
      </c>
      <c r="AK5" t="str">
        <f>RTD("gartle.rtd",,"rtd-mysql","fundamentals_yahoo",FundamentalsYahoo_Table1[Symbol],"MarketCap")</f>
        <v>180.5B</v>
      </c>
      <c r="AL5" t="e">
        <f>RTD("gartle.rtd",,"rtd-mysql","fundamentals_yahoo",FundamentalsYahoo_Table1[Symbol],"DividendYield")</f>
        <v>#N/A</v>
      </c>
      <c r="AM5">
        <f>RTD("gartle.rtd",,"rtd-mysql","fundamentals_yahoo",FundamentalsYahoo_Table1[Symbol],"DividendShare")</f>
        <v>0</v>
      </c>
      <c r="AN5" t="e">
        <f>RTD("gartle.rtd",,"rtd-mysql","fundamentals_yahoo",FundamentalsYahoo_Table1[Symbol],"ExDividendDate")</f>
        <v>#N/A</v>
      </c>
      <c r="AO5" t="e">
        <f>RTD("gartle.rtd",,"rtd-mysql","fundamentals_yahoo",FundamentalsYahoo_Table1[Symbol],"DividendPayDate")</f>
        <v>#N/A</v>
      </c>
      <c r="AP5">
        <f>RTD("gartle.rtd",,"rtd-mysql","fundamentals_yahoo",FundamentalsYahoo_Table1[Symbol],"BookValue")</f>
        <v>6.1040000000000001</v>
      </c>
      <c r="AQ5">
        <f>RTD("gartle.rtd",,"rtd-mysql","fundamentals_yahoo",FundamentalsYahoo_Table1[Symbol],"PriceBook")</f>
        <v>11.24</v>
      </c>
      <c r="AR5">
        <f>RTD("gartle.rtd",,"rtd-mysql","fundamentals_yahoo",FundamentalsYahoo_Table1[Symbol],"PriceSales")</f>
        <v>22.22</v>
      </c>
      <c r="AS5">
        <f>RTD("gartle.rtd",,"rtd-mysql","fundamentals_yahoo",FundamentalsYahoo_Table1[Symbol],"PriceEPSEstCurrentYear")</f>
        <v>54.87</v>
      </c>
      <c r="AT5">
        <f>RTD("gartle.rtd",,"rtd-mysql","fundamentals_yahoo",FundamentalsYahoo_Table1[Symbol],"PriceEPSEstNextYear")</f>
        <v>40.83</v>
      </c>
      <c r="AU5" t="str">
        <f>RTD("gartle.rtd",,"rtd-mysql","fundamentals_yahoo",FundamentalsYahoo_Table1[Symbol],"EBITDA")</f>
        <v>3.932B</v>
      </c>
      <c r="AV5" t="str">
        <f>RTD("gartle.rtd",,"rtd-mysql","fundamentals_yahoo",FundamentalsYahoo_Table1[Symbol],"CompanyName")</f>
        <v>Facebook, Inc.</v>
      </c>
      <c r="AW5" t="str">
        <f>RTD("gartle.rtd",,"rtd-mysql","fundamentals_yahoo",FundamentalsYahoo_Table1[Symbol],"StockExchange")</f>
        <v>NasdaqNM</v>
      </c>
      <c r="AX5" t="e">
        <f>RTD("gartle.rtd",,"rtd-mysql","fundamentals_yahoo",FundamentalsYahoo_Table1[Symbol],"Commission")</f>
        <v>#N/A</v>
      </c>
      <c r="AY5" t="e">
        <f>RTD("gartle.rtd",,"rtd-mysql","fundamentals_yahoo",FundamentalsYahoo_Table1[Symbol],"Notes")</f>
        <v>#N/A</v>
      </c>
      <c r="AZ5" s="7">
        <f>RTD("gartle.rtd",,"rtd-mysql","fundamentals_yahoo",FundamentalsYahoo_Table1[Symbol],"LastUpdateTimeStamp")</f>
        <v>41695.187141203707</v>
      </c>
      <c r="BA5" t="str">
        <f>RTD("gartle.rtd",,"rtd-mysql","fundamentals_yahoo",FundamentalsYahoo_Table1[Symbol],"RTD_LastMessage")</f>
        <v/>
      </c>
    </row>
    <row r="6" spans="2:53" x14ac:dyDescent="0.25">
      <c r="B6">
        <v>2</v>
      </c>
      <c r="C6" t="s">
        <v>157</v>
      </c>
      <c r="D6" s="5">
        <f>RTD("gartle.rtd",,"rtd-mysql","fundamentals_yahoo",FundamentalsYahoo_Table1[Symbol],"LastTradeDate")</f>
        <v>41694</v>
      </c>
      <c r="E6" s="7">
        <f>RTD("gartle.rtd",,"rtd-mysql","fundamentals_yahoo",FundamentalsYahoo_Table1[Symbol],"LastTradeTime")</f>
        <v>0.66666666666666663</v>
      </c>
      <c r="F6" s="8">
        <f>RTD("gartle.rtd",,"rtd-mysql","fundamentals_yahoo",FundamentalsYahoo_Table1[Symbol],"Last")</f>
        <v>1212.51</v>
      </c>
      <c r="G6" s="9">
        <f>RTD("gartle.rtd",,"rtd-mysql","fundamentals_yahoo",FundamentalsYahoo_Table1[Symbol],"Change")</f>
        <v>8.7200000000000006</v>
      </c>
      <c r="H6" s="10">
        <f>RTD("gartle.rtd",,"rtd-mysql","fundamentals_yahoo",FundamentalsYahoo_Table1[Symbol],"PercentChange")</f>
        <v>7.1999999999999998E-3</v>
      </c>
      <c r="I6" s="8">
        <f>RTD("gartle.rtd",,"rtd-mysql","fundamentals_yahoo",FundamentalsYahoo_Table1[Symbol],"Open")</f>
        <v>1205.25</v>
      </c>
      <c r="J6" s="8">
        <f>RTD("gartle.rtd",,"rtd-mysql","fundamentals_yahoo",FundamentalsYahoo_Table1[Symbol],"High")</f>
        <v>1220.1600000000001</v>
      </c>
      <c r="K6" s="8">
        <f>RTD("gartle.rtd",,"rtd-mysql","fundamentals_yahoo",FundamentalsYahoo_Table1[Symbol],"Low")</f>
        <v>1205.0999999999999</v>
      </c>
      <c r="L6" s="11">
        <f>RTD("gartle.rtd",,"rtd-mysql","fundamentals_yahoo",FundamentalsYahoo_Table1[Symbol],"Volume")</f>
        <v>1620226</v>
      </c>
      <c r="M6" t="str">
        <f>RTD("gartle.rtd",,"rtd-mysql","fundamentals_yahoo",FundamentalsYahoo_Table1[Symbol],"DaysRange")</f>
        <v>1205.10 - 1220.16</v>
      </c>
      <c r="N6" s="8">
        <f>RTD("gartle.rtd",,"rtd-mysql","fundamentals_yahoo",FundamentalsYahoo_Table1[Symbol],"PrevClose")</f>
        <v>1203.79</v>
      </c>
      <c r="O6">
        <f>RTD("gartle.rtd",,"rtd-mysql","fundamentals_yahoo",FundamentalsYahoo_Table1[Symbol],"ShortRatio")</f>
        <v>1.1000000000000001</v>
      </c>
      <c r="P6" s="8">
        <f>RTD("gartle.rtd",,"rtd-mysql","fundamentals_yahoo",FundamentalsYahoo_Table1[Symbol],"YearHigh")</f>
        <v>1212.8699999999999</v>
      </c>
      <c r="Q6" s="8">
        <f>RTD("gartle.rtd",,"rtd-mysql","fundamentals_yahoo",FundamentalsYahoo_Table1[Symbol],"YearLow")</f>
        <v>761.26</v>
      </c>
      <c r="R6" t="str">
        <f>RTD("gartle.rtd",,"rtd-mysql","fundamentals_yahoo",FundamentalsYahoo_Table1[Symbol],"YearRange")</f>
        <v>761.26 - 1212.87</v>
      </c>
      <c r="S6" s="12">
        <f>RTD("gartle.rtd",,"rtd-mysql","fundamentals_yahoo",FundamentalsYahoo_Table1[Symbol],"ChangeFromYearHigh")</f>
        <v>-0.36</v>
      </c>
      <c r="T6" s="12">
        <f>RTD("gartle.rtd",,"rtd-mysql","fundamentals_yahoo",FundamentalsYahoo_Table1[Symbol],"ChangeFromYearLow")</f>
        <v>451.25</v>
      </c>
      <c r="U6" s="10">
        <f>RTD("gartle.rtd",,"rtd-mysql","fundamentals_yahoo",FundamentalsYahoo_Table1[Symbol],"PercentChangeFromYearHigh")</f>
        <v>-2.9999999999999997E-4</v>
      </c>
      <c r="V6" s="10">
        <f>RTD("gartle.rtd",,"rtd-mysql","fundamentals_yahoo",FundamentalsYahoo_Table1[Symbol],"PercentChangeFromYearLow")</f>
        <v>0.59279999999999999</v>
      </c>
      <c r="W6" s="8">
        <f>RTD("gartle.rtd",,"rtd-mysql","fundamentals_yahoo",FundamentalsYahoo_Table1[Symbol],"MA50")</f>
        <v>1155.1899000000001</v>
      </c>
      <c r="X6" s="8">
        <f>RTD("gartle.rtd",,"rtd-mysql","fundamentals_yahoo",FundamentalsYahoo_Table1[Symbol],"MA200")</f>
        <v>1011.66</v>
      </c>
      <c r="Y6" s="12">
        <f>RTD("gartle.rtd",,"rtd-mysql","fundamentals_yahoo",FundamentalsYahoo_Table1[Symbol],"ChangeFromMA50")</f>
        <v>57.320099999999996</v>
      </c>
      <c r="Z6" s="12">
        <f>RTD("gartle.rtd",,"rtd-mysql","fundamentals_yahoo",FundamentalsYahoo_Table1[Symbol],"ChangeFromMA200")</f>
        <v>200.85</v>
      </c>
      <c r="AA6" s="10">
        <f>RTD("gartle.rtd",,"rtd-mysql","fundamentals_yahoo",FundamentalsYahoo_Table1[Symbol],"PercentChangeFromMA50")</f>
        <v>4.9599999999999998E-2</v>
      </c>
      <c r="AB6" s="10">
        <f>RTD("gartle.rtd",,"rtd-mysql","fundamentals_yahoo",FundamentalsYahoo_Table1[Symbol],"PercentChangeFromMA200")</f>
        <v>0.19850000000000001</v>
      </c>
      <c r="AC6" s="11">
        <f>RTD("gartle.rtd",,"rtd-mysql","fundamentals_yahoo",FundamentalsYahoo_Table1[Symbol],"AverageDailyVolume")</f>
        <v>2093480</v>
      </c>
      <c r="AD6" s="8">
        <f>RTD("gartle.rtd",,"rtd-mysql","fundamentals_yahoo",FundamentalsYahoo_Table1[Symbol],"OneYearTargetPrice")</f>
        <v>1317.38</v>
      </c>
      <c r="AE6">
        <f>RTD("gartle.rtd",,"rtd-mysql","fundamentals_yahoo",FundamentalsYahoo_Table1[Symbol],"PE")</f>
        <v>31.66</v>
      </c>
      <c r="AF6">
        <f>RTD("gartle.rtd",,"rtd-mysql","fundamentals_yahoo",FundamentalsYahoo_Table1[Symbol],"PEG")</f>
        <v>1.38</v>
      </c>
      <c r="AG6">
        <f>RTD("gartle.rtd",,"rtd-mysql","fundamentals_yahoo",FundamentalsYahoo_Table1[Symbol],"EPSEstCurrentYear")</f>
        <v>51.81</v>
      </c>
      <c r="AH6">
        <f>RTD("gartle.rtd",,"rtd-mysql","fundamentals_yahoo",FundamentalsYahoo_Table1[Symbol],"EPSEstNextQuarter")</f>
        <v>12.04</v>
      </c>
      <c r="AI6">
        <f>RTD("gartle.rtd",,"rtd-mysql","fundamentals_yahoo",FundamentalsYahoo_Table1[Symbol],"EPSEstNextYear")</f>
        <v>61.24</v>
      </c>
      <c r="AJ6">
        <f>RTD("gartle.rtd",,"rtd-mysql","fundamentals_yahoo",FundamentalsYahoo_Table1[Symbol],"EarningsShare")</f>
        <v>38.021000000000001</v>
      </c>
      <c r="AK6" t="str">
        <f>RTD("gartle.rtd",,"rtd-mysql","fundamentals_yahoo",FundamentalsYahoo_Table1[Symbol],"MarketCap")</f>
        <v>407.5B</v>
      </c>
      <c r="AL6" t="e">
        <f>RTD("gartle.rtd",,"rtd-mysql","fundamentals_yahoo",FundamentalsYahoo_Table1[Symbol],"DividendYield")</f>
        <v>#N/A</v>
      </c>
      <c r="AM6">
        <f>RTD("gartle.rtd",,"rtd-mysql","fundamentals_yahoo",FundamentalsYahoo_Table1[Symbol],"DividendShare")</f>
        <v>0</v>
      </c>
      <c r="AN6" t="e">
        <f>RTD("gartle.rtd",,"rtd-mysql","fundamentals_yahoo",FundamentalsYahoo_Table1[Symbol],"ExDividendDate")</f>
        <v>#N/A</v>
      </c>
      <c r="AO6" t="e">
        <f>RTD("gartle.rtd",,"rtd-mysql","fundamentals_yahoo",FundamentalsYahoo_Table1[Symbol],"DividendPayDate")</f>
        <v>#N/A</v>
      </c>
      <c r="AP6">
        <f>RTD("gartle.rtd",,"rtd-mysql","fundamentals_yahoo",FundamentalsYahoo_Table1[Symbol],"BookValue")</f>
        <v>259.97800000000001</v>
      </c>
      <c r="AQ6">
        <f>RTD("gartle.rtd",,"rtd-mysql","fundamentals_yahoo",FundamentalsYahoo_Table1[Symbol],"PriceBook")</f>
        <v>4.63</v>
      </c>
      <c r="AR6">
        <f>RTD("gartle.rtd",,"rtd-mysql","fundamentals_yahoo",FundamentalsYahoo_Table1[Symbol],"PriceSales")</f>
        <v>6.76</v>
      </c>
      <c r="AS6">
        <f>RTD("gartle.rtd",,"rtd-mysql","fundamentals_yahoo",FundamentalsYahoo_Table1[Symbol],"PriceEPSEstCurrentYear")</f>
        <v>23.23</v>
      </c>
      <c r="AT6">
        <f>RTD("gartle.rtd",,"rtd-mysql","fundamentals_yahoo",FundamentalsYahoo_Table1[Symbol],"PriceEPSEstNextYear")</f>
        <v>19.66</v>
      </c>
      <c r="AU6" t="str">
        <f>RTD("gartle.rtd",,"rtd-mysql","fundamentals_yahoo",FundamentalsYahoo_Table1[Symbol],"EBITDA")</f>
        <v>18.028B</v>
      </c>
      <c r="AV6" t="str">
        <f>RTD("gartle.rtd",,"rtd-mysql","fundamentals_yahoo",FundamentalsYahoo_Table1[Symbol],"CompanyName")</f>
        <v>Google Inc.</v>
      </c>
      <c r="AW6" t="str">
        <f>RTD("gartle.rtd",,"rtd-mysql","fundamentals_yahoo",FundamentalsYahoo_Table1[Symbol],"StockExchange")</f>
        <v>NasdaqNM</v>
      </c>
      <c r="AX6" t="e">
        <f>RTD("gartle.rtd",,"rtd-mysql","fundamentals_yahoo",FundamentalsYahoo_Table1[Symbol],"Commission")</f>
        <v>#N/A</v>
      </c>
      <c r="AY6" t="e">
        <f>RTD("gartle.rtd",,"rtd-mysql","fundamentals_yahoo",FundamentalsYahoo_Table1[Symbol],"Notes")</f>
        <v>#N/A</v>
      </c>
      <c r="AZ6" s="7">
        <f>RTD("gartle.rtd",,"rtd-mysql","fundamentals_yahoo",FundamentalsYahoo_Table1[Symbol],"LastUpdateTimeStamp")</f>
        <v>41695.187141203707</v>
      </c>
      <c r="BA6" t="str">
        <f>RTD("gartle.rtd",,"rtd-mysql","fundamentals_yahoo",FundamentalsYahoo_Table1[Symbol],"RTD_LastMessage")</f>
        <v/>
      </c>
    </row>
    <row r="7" spans="2:53" x14ac:dyDescent="0.25">
      <c r="B7">
        <v>3</v>
      </c>
      <c r="C7" t="s">
        <v>162</v>
      </c>
      <c r="D7" s="5">
        <f>RTD("gartle.rtd",,"rtd-mysql","fundamentals_yahoo",FundamentalsYahoo_Table1[Symbol],"LastTradeDate")</f>
        <v>41694</v>
      </c>
      <c r="E7" s="7">
        <f>RTD("gartle.rtd",,"rtd-mysql","fundamentals_yahoo",FundamentalsYahoo_Table1[Symbol],"LastTradeTime")</f>
        <v>0.66666666666666663</v>
      </c>
      <c r="F7" s="8">
        <f>RTD("gartle.rtd",,"rtd-mysql","fundamentals_yahoo",FundamentalsYahoo_Table1[Symbol],"Last")</f>
        <v>199.59</v>
      </c>
      <c r="G7" s="9">
        <f>RTD("gartle.rtd",,"rtd-mysql","fundamentals_yahoo",FundamentalsYahoo_Table1[Symbol],"Change")</f>
        <v>6.97</v>
      </c>
      <c r="H7" s="10">
        <f>RTD("gartle.rtd",,"rtd-mysql","fundamentals_yahoo",FundamentalsYahoo_Table1[Symbol],"PercentChange")</f>
        <v>3.6200000000000003E-2</v>
      </c>
      <c r="I7" s="8">
        <f>RTD("gartle.rtd",,"rtd-mysql","fundamentals_yahoo",FundamentalsYahoo_Table1[Symbol],"Open")</f>
        <v>191.86</v>
      </c>
      <c r="J7" s="8">
        <f>RTD("gartle.rtd",,"rtd-mysql","fundamentals_yahoo",FundamentalsYahoo_Table1[Symbol],"High")</f>
        <v>199.88</v>
      </c>
      <c r="K7" s="8">
        <f>RTD("gartle.rtd",,"rtd-mysql","fundamentals_yahoo",FundamentalsYahoo_Table1[Symbol],"Low")</f>
        <v>191.51</v>
      </c>
      <c r="L7" s="11">
        <f>RTD("gartle.rtd",,"rtd-mysql","fundamentals_yahoo",FundamentalsYahoo_Table1[Symbol],"Volume")</f>
        <v>2718990</v>
      </c>
      <c r="M7" t="str">
        <f>RTD("gartle.rtd",,"rtd-mysql","fundamentals_yahoo",FundamentalsYahoo_Table1[Symbol],"DaysRange")</f>
        <v>191.51 - 199.88</v>
      </c>
      <c r="N7" s="8">
        <f>RTD("gartle.rtd",,"rtd-mysql","fundamentals_yahoo",FundamentalsYahoo_Table1[Symbol],"PrevClose")</f>
        <v>192.62</v>
      </c>
      <c r="O7">
        <f>RTD("gartle.rtd",,"rtd-mysql","fundamentals_yahoo",FundamentalsYahoo_Table1[Symbol],"ShortRatio")</f>
        <v>1.7</v>
      </c>
      <c r="P7" s="8">
        <f>RTD("gartle.rtd",,"rtd-mysql","fundamentals_yahoo",FundamentalsYahoo_Table1[Symbol],"YearHigh")</f>
        <v>257.56</v>
      </c>
      <c r="Q7" s="8">
        <f>RTD("gartle.rtd",,"rtd-mysql","fundamentals_yahoo",FundamentalsYahoo_Table1[Symbol],"YearLow")</f>
        <v>155</v>
      </c>
      <c r="R7" t="str">
        <f>RTD("gartle.rtd",,"rtd-mysql","fundamentals_yahoo",FundamentalsYahoo_Table1[Symbol],"YearRange")</f>
        <v>155.00 - 257.56</v>
      </c>
      <c r="S7" s="12">
        <f>RTD("gartle.rtd",,"rtd-mysql","fundamentals_yahoo",FundamentalsYahoo_Table1[Symbol],"ChangeFromYearHigh")</f>
        <v>-57.97</v>
      </c>
      <c r="T7" s="12">
        <f>RTD("gartle.rtd",,"rtd-mysql","fundamentals_yahoo",FundamentalsYahoo_Table1[Symbol],"ChangeFromYearLow")</f>
        <v>44.59</v>
      </c>
      <c r="U7" s="10">
        <f>RTD("gartle.rtd",,"rtd-mysql","fundamentals_yahoo",FundamentalsYahoo_Table1[Symbol],"PercentChangeFromYearHigh")</f>
        <v>-0.22509999999999999</v>
      </c>
      <c r="V7" s="10">
        <f>RTD("gartle.rtd",,"rtd-mysql","fundamentals_yahoo",FundamentalsYahoo_Table1[Symbol],"PercentChangeFromYearLow")</f>
        <v>0.28770000000000001</v>
      </c>
      <c r="W7" s="8">
        <f>RTD("gartle.rtd",,"rtd-mysql","fundamentals_yahoo",FundamentalsYahoo_Table1[Symbol],"MA50")</f>
        <v>209.27</v>
      </c>
      <c r="X7" s="8">
        <f>RTD("gartle.rtd",,"rtd-mysql","fundamentals_yahoo",FundamentalsYahoo_Table1[Symbol],"MA200")</f>
        <v>226.941</v>
      </c>
      <c r="Y7" s="12">
        <f>RTD("gartle.rtd",,"rtd-mysql","fundamentals_yahoo",FundamentalsYahoo_Table1[Symbol],"ChangeFromMA50")</f>
        <v>-9.68</v>
      </c>
      <c r="Z7" s="12">
        <f>RTD("gartle.rtd",,"rtd-mysql","fundamentals_yahoo",FundamentalsYahoo_Table1[Symbol],"ChangeFromMA200")</f>
        <v>-27.350999999999999</v>
      </c>
      <c r="AA7" s="10">
        <f>RTD("gartle.rtd",,"rtd-mysql","fundamentals_yahoo",FundamentalsYahoo_Table1[Symbol],"PercentChangeFromMA50")</f>
        <v>-4.6300000000000001E-2</v>
      </c>
      <c r="AB7" s="10">
        <f>RTD("gartle.rtd",,"rtd-mysql","fundamentals_yahoo",FundamentalsYahoo_Table1[Symbol],"PercentChangeFromMA200")</f>
        <v>-0.1205</v>
      </c>
      <c r="AC7" s="11">
        <f>RTD("gartle.rtd",,"rtd-mysql","fundamentals_yahoo",FundamentalsYahoo_Table1[Symbol],"AverageDailyVolume")</f>
        <v>2557250</v>
      </c>
      <c r="AD7" s="8">
        <f>RTD("gartle.rtd",,"rtd-mysql","fundamentals_yahoo",FundamentalsYahoo_Table1[Symbol],"OneYearTargetPrice")</f>
        <v>251.47</v>
      </c>
      <c r="AE7">
        <f>RTD("gartle.rtd",,"rtd-mysql","fundamentals_yahoo",FundamentalsYahoo_Table1[Symbol],"PE")</f>
        <v>863.77</v>
      </c>
      <c r="AF7">
        <f>RTD("gartle.rtd",,"rtd-mysql","fundamentals_yahoo",FundamentalsYahoo_Table1[Symbol],"PEG")</f>
        <v>3.16</v>
      </c>
      <c r="AG7">
        <f>RTD("gartle.rtd",,"rtd-mysql","fundamentals_yahoo",FundamentalsYahoo_Table1[Symbol],"EPSEstCurrentYear")</f>
        <v>1.58</v>
      </c>
      <c r="AH7">
        <f>RTD("gartle.rtd",,"rtd-mysql","fundamentals_yahoo",FundamentalsYahoo_Table1[Symbol],"EPSEstNextQuarter")</f>
        <v>0.37</v>
      </c>
      <c r="AI7">
        <f>RTD("gartle.rtd",,"rtd-mysql","fundamentals_yahoo",FundamentalsYahoo_Table1[Symbol],"EPSEstNextYear")</f>
        <v>2.5099999999999998</v>
      </c>
      <c r="AJ7">
        <f>RTD("gartle.rtd",,"rtd-mysql","fundamentals_yahoo",FundamentalsYahoo_Table1[Symbol],"EarningsShare")</f>
        <v>0.223</v>
      </c>
      <c r="AK7" t="str">
        <f>RTD("gartle.rtd",,"rtd-mysql","fundamentals_yahoo",FundamentalsYahoo_Table1[Symbol],"MarketCap")</f>
        <v>24.057B</v>
      </c>
      <c r="AL7" t="e">
        <f>RTD("gartle.rtd",,"rtd-mysql","fundamentals_yahoo",FundamentalsYahoo_Table1[Symbol],"DividendYield")</f>
        <v>#N/A</v>
      </c>
      <c r="AM7">
        <f>RTD("gartle.rtd",,"rtd-mysql","fundamentals_yahoo",FundamentalsYahoo_Table1[Symbol],"DividendShare")</f>
        <v>0</v>
      </c>
      <c r="AN7" t="e">
        <f>RTD("gartle.rtd",,"rtd-mysql","fundamentals_yahoo",FundamentalsYahoo_Table1[Symbol],"ExDividendDate")</f>
        <v>#N/A</v>
      </c>
      <c r="AO7" t="e">
        <f>RTD("gartle.rtd",,"rtd-mysql","fundamentals_yahoo",FundamentalsYahoo_Table1[Symbol],"DividendPayDate")</f>
        <v>#N/A</v>
      </c>
      <c r="AP7">
        <f>RTD("gartle.rtd",,"rtd-mysql","fundamentals_yahoo",FundamentalsYahoo_Table1[Symbol],"BookValue")</f>
        <v>21.847999999999999</v>
      </c>
      <c r="AQ7">
        <f>RTD("gartle.rtd",,"rtd-mysql","fundamentals_yahoo",FundamentalsYahoo_Table1[Symbol],"PriceBook")</f>
        <v>8.82</v>
      </c>
      <c r="AR7">
        <f>RTD("gartle.rtd",,"rtd-mysql","fundamentals_yahoo",FundamentalsYahoo_Table1[Symbol],"PriceSales")</f>
        <v>15.19</v>
      </c>
      <c r="AS7">
        <f>RTD("gartle.rtd",,"rtd-mysql","fundamentals_yahoo",FundamentalsYahoo_Table1[Symbol],"PriceEPSEstCurrentYear")</f>
        <v>121.91</v>
      </c>
      <c r="AT7">
        <f>RTD("gartle.rtd",,"rtd-mysql","fundamentals_yahoo",FundamentalsYahoo_Table1[Symbol],"PriceEPSEstNextYear")</f>
        <v>76.739999999999995</v>
      </c>
      <c r="AU7" t="str">
        <f>RTD("gartle.rtd",,"rtd-mysql","fundamentals_yahoo",FundamentalsYahoo_Table1[Symbol],"EBITDA")</f>
        <v>166.7M</v>
      </c>
      <c r="AV7" t="str">
        <f>RTD("gartle.rtd",,"rtd-mysql","fundamentals_yahoo",FundamentalsYahoo_Table1[Symbol],"CompanyName")</f>
        <v>LinkedIn Corporat</v>
      </c>
      <c r="AW7" t="str">
        <f>RTD("gartle.rtd",,"rtd-mysql","fundamentals_yahoo",FundamentalsYahoo_Table1[Symbol],"StockExchange")</f>
        <v>NYSE</v>
      </c>
      <c r="AX7" t="e">
        <f>RTD("gartle.rtd",,"rtd-mysql","fundamentals_yahoo",FundamentalsYahoo_Table1[Symbol],"Commission")</f>
        <v>#N/A</v>
      </c>
      <c r="AY7" t="e">
        <f>RTD("gartle.rtd",,"rtd-mysql","fundamentals_yahoo",FundamentalsYahoo_Table1[Symbol],"Notes")</f>
        <v>#N/A</v>
      </c>
      <c r="AZ7" s="7">
        <f>RTD("gartle.rtd",,"rtd-mysql","fundamentals_yahoo",FundamentalsYahoo_Table1[Symbol],"LastUpdateTimeStamp")</f>
        <v>41695.187141203707</v>
      </c>
      <c r="BA7" t="str">
        <f>RTD("gartle.rtd",,"rtd-mysql","fundamentals_yahoo",FundamentalsYahoo_Table1[Symbol],"RTD_LastMessage")</f>
        <v/>
      </c>
    </row>
    <row r="8" spans="2:53" x14ac:dyDescent="0.25">
      <c r="B8">
        <v>4</v>
      </c>
      <c r="C8" t="s">
        <v>158</v>
      </c>
      <c r="D8" s="5">
        <f>RTD("gartle.rtd",,"rtd-mysql","fundamentals_yahoo",FundamentalsYahoo_Table1[Symbol],"LastTradeDate")</f>
        <v>41694</v>
      </c>
      <c r="E8" s="7">
        <f>RTD("gartle.rtd",,"rtd-mysql","fundamentals_yahoo",FundamentalsYahoo_Table1[Symbol],"LastTradeTime")</f>
        <v>0.66666666666666663</v>
      </c>
      <c r="F8" s="8">
        <f>RTD("gartle.rtd",,"rtd-mysql","fundamentals_yahoo",FundamentalsYahoo_Table1[Symbol],"Last")</f>
        <v>37.69</v>
      </c>
      <c r="G8" s="9">
        <f>RTD("gartle.rtd",,"rtd-mysql","fundamentals_yahoo",FundamentalsYahoo_Table1[Symbol],"Change")</f>
        <v>-0.28999999999999998</v>
      </c>
      <c r="H8" s="10">
        <f>RTD("gartle.rtd",,"rtd-mysql","fundamentals_yahoo",FundamentalsYahoo_Table1[Symbol],"PercentChange")</f>
        <v>-7.6E-3</v>
      </c>
      <c r="I8" s="8">
        <f>RTD("gartle.rtd",,"rtd-mysql","fundamentals_yahoo",FundamentalsYahoo_Table1[Symbol],"Open")</f>
        <v>37.659999999999997</v>
      </c>
      <c r="J8" s="8">
        <f>RTD("gartle.rtd",,"rtd-mysql","fundamentals_yahoo",FundamentalsYahoo_Table1[Symbol],"High")</f>
        <v>37.975000000000001</v>
      </c>
      <c r="K8" s="8">
        <f>RTD("gartle.rtd",,"rtd-mysql","fundamentals_yahoo",FundamentalsYahoo_Table1[Symbol],"Low")</f>
        <v>37.54</v>
      </c>
      <c r="L8" s="11">
        <f>RTD("gartle.rtd",,"rtd-mysql","fundamentals_yahoo",FundamentalsYahoo_Table1[Symbol],"Volume")</f>
        <v>31322364</v>
      </c>
      <c r="M8" t="str">
        <f>RTD("gartle.rtd",,"rtd-mysql","fundamentals_yahoo",FundamentalsYahoo_Table1[Symbol],"DaysRange")</f>
        <v>37.54 - 37.975</v>
      </c>
      <c r="N8" s="8">
        <f>RTD("gartle.rtd",,"rtd-mysql","fundamentals_yahoo",FundamentalsYahoo_Table1[Symbol],"PrevClose")</f>
        <v>37.979999999999997</v>
      </c>
      <c r="O8">
        <f>RTD("gartle.rtd",,"rtd-mysql","fundamentals_yahoo",FundamentalsYahoo_Table1[Symbol],"ShortRatio")</f>
        <v>1.7</v>
      </c>
      <c r="P8" s="8">
        <f>RTD("gartle.rtd",,"rtd-mysql","fundamentals_yahoo",FundamentalsYahoo_Table1[Symbol],"YearHigh")</f>
        <v>38.979999999999997</v>
      </c>
      <c r="Q8" s="8">
        <f>RTD("gartle.rtd",,"rtd-mysql","fundamentals_yahoo",FundamentalsYahoo_Table1[Symbol],"YearLow")</f>
        <v>27.33</v>
      </c>
      <c r="R8" t="str">
        <f>RTD("gartle.rtd",,"rtd-mysql","fundamentals_yahoo",FundamentalsYahoo_Table1[Symbol],"YearRange")</f>
        <v>27.33 - 38.98</v>
      </c>
      <c r="S8" s="12">
        <f>RTD("gartle.rtd",,"rtd-mysql","fundamentals_yahoo",FundamentalsYahoo_Table1[Symbol],"ChangeFromYearHigh")</f>
        <v>-1.29</v>
      </c>
      <c r="T8" s="12">
        <f>RTD("gartle.rtd",,"rtd-mysql","fundamentals_yahoo",FundamentalsYahoo_Table1[Symbol],"ChangeFromYearLow")</f>
        <v>10.36</v>
      </c>
      <c r="U8" s="10">
        <f>RTD("gartle.rtd",,"rtd-mysql","fundamentals_yahoo",FundamentalsYahoo_Table1[Symbol],"PercentChangeFromYearHigh")</f>
        <v>-3.3099999999999997E-2</v>
      </c>
      <c r="V8" s="10">
        <f>RTD("gartle.rtd",,"rtd-mysql","fundamentals_yahoo",FundamentalsYahoo_Table1[Symbol],"PercentChangeFromYearLow")</f>
        <v>0.37909999999999999</v>
      </c>
      <c r="W8" s="8">
        <f>RTD("gartle.rtd",,"rtd-mysql","fundamentals_yahoo",FundamentalsYahoo_Table1[Symbol],"MA50")</f>
        <v>36.615299999999998</v>
      </c>
      <c r="X8" s="8">
        <f>RTD("gartle.rtd",,"rtd-mysql","fundamentals_yahoo",FundamentalsYahoo_Table1[Symbol],"MA200")</f>
        <v>35.337499999999999</v>
      </c>
      <c r="Y8" s="12">
        <f>RTD("gartle.rtd",,"rtd-mysql","fundamentals_yahoo",FundamentalsYahoo_Table1[Symbol],"ChangeFromMA50")</f>
        <v>1.0747</v>
      </c>
      <c r="Z8" s="12">
        <f>RTD("gartle.rtd",,"rtd-mysql","fundamentals_yahoo",FundamentalsYahoo_Table1[Symbol],"ChangeFromMA200")</f>
        <v>2.3525</v>
      </c>
      <c r="AA8" s="10">
        <f>RTD("gartle.rtd",,"rtd-mysql","fundamentals_yahoo",FundamentalsYahoo_Table1[Symbol],"PercentChangeFromMA50")</f>
        <v>2.9399999999999999E-2</v>
      </c>
      <c r="AB8" s="10">
        <f>RTD("gartle.rtd",,"rtd-mysql","fundamentals_yahoo",FundamentalsYahoo_Table1[Symbol],"PercentChangeFromMA200")</f>
        <v>6.6600000000000006E-2</v>
      </c>
      <c r="AC8" s="11">
        <f>RTD("gartle.rtd",,"rtd-mysql","fundamentals_yahoo",FundamentalsYahoo_Table1[Symbol],"AverageDailyVolume")</f>
        <v>39742500</v>
      </c>
      <c r="AD8" s="8">
        <f>RTD("gartle.rtd",,"rtd-mysql","fundamentals_yahoo",FundamentalsYahoo_Table1[Symbol],"OneYearTargetPrice")</f>
        <v>38.42</v>
      </c>
      <c r="AE8">
        <f>RTD("gartle.rtd",,"rtd-mysql","fundamentals_yahoo",FundamentalsYahoo_Table1[Symbol],"PE")</f>
        <v>14.07</v>
      </c>
      <c r="AF8">
        <f>RTD("gartle.rtd",,"rtd-mysql","fundamentals_yahoo",FundamentalsYahoo_Table1[Symbol],"PEG")</f>
        <v>1.88</v>
      </c>
      <c r="AG8">
        <f>RTD("gartle.rtd",,"rtd-mysql","fundamentals_yahoo",FundamentalsYahoo_Table1[Symbol],"EPSEstCurrentYear")</f>
        <v>2.71</v>
      </c>
      <c r="AH8">
        <f>RTD("gartle.rtd",,"rtd-mysql","fundamentals_yahoo",FundamentalsYahoo_Table1[Symbol],"EPSEstNextQuarter")</f>
        <v>0.67</v>
      </c>
      <c r="AI8">
        <f>RTD("gartle.rtd",,"rtd-mysql","fundamentals_yahoo",FundamentalsYahoo_Table1[Symbol],"EPSEstNextYear")</f>
        <v>2.91</v>
      </c>
      <c r="AJ8">
        <f>RTD("gartle.rtd",,"rtd-mysql","fundamentals_yahoo",FundamentalsYahoo_Table1[Symbol],"EarningsShare")</f>
        <v>2.7</v>
      </c>
      <c r="AK8" t="str">
        <f>RTD("gartle.rtd",,"rtd-mysql","fundamentals_yahoo",FundamentalsYahoo_Table1[Symbol],"MarketCap")</f>
        <v>312.9B</v>
      </c>
      <c r="AL8">
        <f>RTD("gartle.rtd",,"rtd-mysql","fundamentals_yahoo",FundamentalsYahoo_Table1[Symbol],"DividendYield")</f>
        <v>2.69</v>
      </c>
      <c r="AM8">
        <f>RTD("gartle.rtd",,"rtd-mysql","fundamentals_yahoo",FundamentalsYahoo_Table1[Symbol],"DividendShare")</f>
        <v>1.02</v>
      </c>
      <c r="AN8" t="str">
        <f>RTD("gartle.rtd",,"rtd-mysql","fundamentals_yahoo",FundamentalsYahoo_Table1[Symbol],"ExDividendDate")</f>
        <v>Feb 18</v>
      </c>
      <c r="AO8" t="str">
        <f>RTD("gartle.rtd",,"rtd-mysql","fundamentals_yahoo",FundamentalsYahoo_Table1[Symbol],"DividendPayDate")</f>
        <v>Mar 13</v>
      </c>
      <c r="AP8">
        <f>RTD("gartle.rtd",,"rtd-mysql","fundamentals_yahoo",FundamentalsYahoo_Table1[Symbol],"BookValue")</f>
        <v>10.253</v>
      </c>
      <c r="AQ8">
        <f>RTD("gartle.rtd",,"rtd-mysql","fundamentals_yahoo",FundamentalsYahoo_Table1[Symbol],"PriceBook")</f>
        <v>3.7</v>
      </c>
      <c r="AR8">
        <f>RTD("gartle.rtd",,"rtd-mysql","fundamentals_yahoo",FundamentalsYahoo_Table1[Symbol],"PriceSales")</f>
        <v>3.78</v>
      </c>
      <c r="AS8">
        <f>RTD("gartle.rtd",,"rtd-mysql","fundamentals_yahoo",FundamentalsYahoo_Table1[Symbol],"PriceEPSEstCurrentYear")</f>
        <v>14.01</v>
      </c>
      <c r="AT8">
        <f>RTD("gartle.rtd",,"rtd-mysql","fundamentals_yahoo",FundamentalsYahoo_Table1[Symbol],"PriceEPSEstNextYear")</f>
        <v>13.05</v>
      </c>
      <c r="AU8" t="str">
        <f>RTD("gartle.rtd",,"rtd-mysql","fundamentals_yahoo",FundamentalsYahoo_Table1[Symbol],"EBITDA")</f>
        <v>31.828B</v>
      </c>
      <c r="AV8" t="str">
        <f>RTD("gartle.rtd",,"rtd-mysql","fundamentals_yahoo",FundamentalsYahoo_Table1[Symbol],"CompanyName")</f>
        <v>Microsoft Corpora</v>
      </c>
      <c r="AW8" t="str">
        <f>RTD("gartle.rtd",,"rtd-mysql","fundamentals_yahoo",FundamentalsYahoo_Table1[Symbol],"StockExchange")</f>
        <v>NasdaqNM</v>
      </c>
      <c r="AX8" t="e">
        <f>RTD("gartle.rtd",,"rtd-mysql","fundamentals_yahoo",FundamentalsYahoo_Table1[Symbol],"Commission")</f>
        <v>#N/A</v>
      </c>
      <c r="AY8" t="e">
        <f>RTD("gartle.rtd",,"rtd-mysql","fundamentals_yahoo",FundamentalsYahoo_Table1[Symbol],"Notes")</f>
        <v>#N/A</v>
      </c>
      <c r="AZ8" s="7">
        <f>RTD("gartle.rtd",,"rtd-mysql","fundamentals_yahoo",FundamentalsYahoo_Table1[Symbol],"LastUpdateTimeStamp")</f>
        <v>41695.187141203707</v>
      </c>
      <c r="BA8" t="str">
        <f>RTD("gartle.rtd",,"rtd-mysql","fundamentals_yahoo",FundamentalsYahoo_Table1[Symbol],"RTD_LastMessage")</f>
        <v/>
      </c>
    </row>
    <row r="9" spans="2:53" x14ac:dyDescent="0.25">
      <c r="B9">
        <v>5</v>
      </c>
      <c r="C9" t="s">
        <v>161</v>
      </c>
      <c r="D9" s="5">
        <f>RTD("gartle.rtd",,"rtd-mysql","fundamentals_yahoo",FundamentalsYahoo_Table1[Symbol],"LastTradeDate")</f>
        <v>41694</v>
      </c>
      <c r="E9" s="7">
        <f>RTD("gartle.rtd",,"rtd-mysql","fundamentals_yahoo",FundamentalsYahoo_Table1[Symbol],"LastTradeTime")</f>
        <v>0.66736111111111107</v>
      </c>
      <c r="F9" s="8">
        <f>RTD("gartle.rtd",,"rtd-mysql","fundamentals_yahoo",FundamentalsYahoo_Table1[Symbol],"Last")</f>
        <v>38.14</v>
      </c>
      <c r="G9" s="9">
        <f>RTD("gartle.rtd",,"rtd-mysql","fundamentals_yahoo",FundamentalsYahoo_Table1[Symbol],"Change")</f>
        <v>0.04</v>
      </c>
      <c r="H9" s="10">
        <f>RTD("gartle.rtd",,"rtd-mysql","fundamentals_yahoo",FundamentalsYahoo_Table1[Symbol],"PercentChange")</f>
        <v>1E-3</v>
      </c>
      <c r="I9" s="8">
        <f>RTD("gartle.rtd",,"rtd-mysql","fundamentals_yahoo",FundamentalsYahoo_Table1[Symbol],"Open")</f>
        <v>38.159999999999997</v>
      </c>
      <c r="J9" s="8">
        <f>RTD("gartle.rtd",,"rtd-mysql","fundamentals_yahoo",FundamentalsYahoo_Table1[Symbol],"High")</f>
        <v>38.454999999999998</v>
      </c>
      <c r="K9" s="8">
        <f>RTD("gartle.rtd",,"rtd-mysql","fundamentals_yahoo",FundamentalsYahoo_Table1[Symbol],"Low")</f>
        <v>38.049999999999997</v>
      </c>
      <c r="L9" s="11">
        <f>RTD("gartle.rtd",,"rtd-mysql","fundamentals_yahoo",FundamentalsYahoo_Table1[Symbol],"Volume")</f>
        <v>10292762</v>
      </c>
      <c r="M9" t="str">
        <f>RTD("gartle.rtd",,"rtd-mysql","fundamentals_yahoo",FundamentalsYahoo_Table1[Symbol],"DaysRange")</f>
        <v>38.05 - 38.455</v>
      </c>
      <c r="N9" s="8">
        <f>RTD("gartle.rtd",,"rtd-mysql","fundamentals_yahoo",FundamentalsYahoo_Table1[Symbol],"PrevClose")</f>
        <v>38.1</v>
      </c>
      <c r="O9">
        <f>RTD("gartle.rtd",,"rtd-mysql","fundamentals_yahoo",FundamentalsYahoo_Table1[Symbol],"ShortRatio")</f>
        <v>2.5</v>
      </c>
      <c r="P9" s="8">
        <f>RTD("gartle.rtd",,"rtd-mysql","fundamentals_yahoo",FundamentalsYahoo_Table1[Symbol],"YearHigh")</f>
        <v>38.770000000000003</v>
      </c>
      <c r="Q9" s="8">
        <f>RTD("gartle.rtd",,"rtd-mysql","fundamentals_yahoo",FundamentalsYahoo_Table1[Symbol],"YearLow")</f>
        <v>29.86</v>
      </c>
      <c r="R9" t="str">
        <f>RTD("gartle.rtd",,"rtd-mysql","fundamentals_yahoo",FundamentalsYahoo_Table1[Symbol],"YearRange")</f>
        <v>29.86 - 38.77</v>
      </c>
      <c r="S9" s="12">
        <f>RTD("gartle.rtd",,"rtd-mysql","fundamentals_yahoo",FundamentalsYahoo_Table1[Symbol],"ChangeFromYearHigh")</f>
        <v>-0.63</v>
      </c>
      <c r="T9" s="12">
        <f>RTD("gartle.rtd",,"rtd-mysql","fundamentals_yahoo",FundamentalsYahoo_Table1[Symbol],"ChangeFromYearLow")</f>
        <v>8.2799999999999994</v>
      </c>
      <c r="U9" s="10">
        <f>RTD("gartle.rtd",,"rtd-mysql","fundamentals_yahoo",FundamentalsYahoo_Table1[Symbol],"PercentChangeFromYearHigh")</f>
        <v>-1.6199999999999999E-2</v>
      </c>
      <c r="V9" s="10">
        <f>RTD("gartle.rtd",,"rtd-mysql","fundamentals_yahoo",FundamentalsYahoo_Table1[Symbol],"PercentChangeFromYearLow")</f>
        <v>0.27729999999999999</v>
      </c>
      <c r="W9" s="8">
        <f>RTD("gartle.rtd",,"rtd-mysql","fundamentals_yahoo",FundamentalsYahoo_Table1[Symbol],"MA50")</f>
        <v>37.558199999999999</v>
      </c>
      <c r="X9" s="8">
        <f>RTD("gartle.rtd",,"rtd-mysql","fundamentals_yahoo",FundamentalsYahoo_Table1[Symbol],"MA200")</f>
        <v>34.745100000000001</v>
      </c>
      <c r="Y9" s="12">
        <f>RTD("gartle.rtd",,"rtd-mysql","fundamentals_yahoo",FundamentalsYahoo_Table1[Symbol],"ChangeFromMA50")</f>
        <v>0.58179999999999998</v>
      </c>
      <c r="Z9" s="12">
        <f>RTD("gartle.rtd",,"rtd-mysql","fundamentals_yahoo",FundamentalsYahoo_Table1[Symbol],"ChangeFromMA200")</f>
        <v>3.3948999999999998</v>
      </c>
      <c r="AA9" s="10">
        <f>RTD("gartle.rtd",,"rtd-mysql","fundamentals_yahoo",FundamentalsYahoo_Table1[Symbol],"PercentChangeFromMA50")</f>
        <v>1.55E-2</v>
      </c>
      <c r="AB9" s="10">
        <f>RTD("gartle.rtd",,"rtd-mysql","fundamentals_yahoo",FundamentalsYahoo_Table1[Symbol],"PercentChangeFromMA200")</f>
        <v>9.7699999999999995E-2</v>
      </c>
      <c r="AC9" s="11">
        <f>RTD("gartle.rtd",,"rtd-mysql","fundamentals_yahoo",FundamentalsYahoo_Table1[Symbol],"AverageDailyVolume")</f>
        <v>17627200</v>
      </c>
      <c r="AD9" s="8">
        <f>RTD("gartle.rtd",,"rtd-mysql","fundamentals_yahoo",FundamentalsYahoo_Table1[Symbol],"OneYearTargetPrice")</f>
        <v>38.92</v>
      </c>
      <c r="AE9">
        <f>RTD("gartle.rtd",,"rtd-mysql","fundamentals_yahoo",FundamentalsYahoo_Table1[Symbol],"PE")</f>
        <v>16.21</v>
      </c>
      <c r="AF9">
        <f>RTD("gartle.rtd",,"rtd-mysql","fundamentals_yahoo",FundamentalsYahoo_Table1[Symbol],"PEG")</f>
        <v>1.24</v>
      </c>
      <c r="AG9">
        <f>RTD("gartle.rtd",,"rtd-mysql","fundamentals_yahoo",FundamentalsYahoo_Table1[Symbol],"EPSEstCurrentYear")</f>
        <v>2.92</v>
      </c>
      <c r="AH9">
        <f>RTD("gartle.rtd",,"rtd-mysql","fundamentals_yahoo",FundamentalsYahoo_Table1[Symbol],"EPSEstNextQuarter")</f>
        <v>0.96</v>
      </c>
      <c r="AI9">
        <f>RTD("gartle.rtd",,"rtd-mysql","fundamentals_yahoo",FundamentalsYahoo_Table1[Symbol],"EPSEstNextYear")</f>
        <v>3.19</v>
      </c>
      <c r="AJ9">
        <f>RTD("gartle.rtd",,"rtd-mysql","fundamentals_yahoo",FundamentalsYahoo_Table1[Symbol],"EarningsShare")</f>
        <v>2.35</v>
      </c>
      <c r="AK9" t="str">
        <f>RTD("gartle.rtd",,"rtd-mysql","fundamentals_yahoo",FundamentalsYahoo_Table1[Symbol],"MarketCap")</f>
        <v>171.5B</v>
      </c>
      <c r="AL9">
        <f>RTD("gartle.rtd",,"rtd-mysql","fundamentals_yahoo",FundamentalsYahoo_Table1[Symbol],"DividendYield")</f>
        <v>0.94</v>
      </c>
      <c r="AM9">
        <f>RTD("gartle.rtd",,"rtd-mysql","fundamentals_yahoo",FundamentalsYahoo_Table1[Symbol],"DividendShare")</f>
        <v>0.36</v>
      </c>
      <c r="AN9" t="str">
        <f>RTD("gartle.rtd",,"rtd-mysql","fundamentals_yahoo",FundamentalsYahoo_Table1[Symbol],"ExDividendDate")</f>
        <v>Jan  3</v>
      </c>
      <c r="AO9" t="str">
        <f>RTD("gartle.rtd",,"rtd-mysql","fundamentals_yahoo",FundamentalsYahoo_Table1[Symbol],"DividendPayDate")</f>
        <v>Jan 28</v>
      </c>
      <c r="AP9">
        <f>RTD("gartle.rtd",,"rtd-mysql","fundamentals_yahoo",FundamentalsYahoo_Table1[Symbol],"BookValue")</f>
        <v>9.6679999999999993</v>
      </c>
      <c r="AQ9">
        <f>RTD("gartle.rtd",,"rtd-mysql","fundamentals_yahoo",FundamentalsYahoo_Table1[Symbol],"PriceBook")</f>
        <v>3.94</v>
      </c>
      <c r="AR9">
        <f>RTD("gartle.rtd",,"rtd-mysql","fundamentals_yahoo",FundamentalsYahoo_Table1[Symbol],"PriceSales")</f>
        <v>4.5599999999999996</v>
      </c>
      <c r="AS9">
        <f>RTD("gartle.rtd",,"rtd-mysql","fundamentals_yahoo",FundamentalsYahoo_Table1[Symbol],"PriceEPSEstCurrentYear")</f>
        <v>13.05</v>
      </c>
      <c r="AT9">
        <f>RTD("gartle.rtd",,"rtd-mysql","fundamentals_yahoo",FundamentalsYahoo_Table1[Symbol],"PriceEPSEstNextYear")</f>
        <v>11.94</v>
      </c>
      <c r="AU9" t="str">
        <f>RTD("gartle.rtd",,"rtd-mysql","fundamentals_yahoo",FundamentalsYahoo_Table1[Symbol],"EBITDA")</f>
        <v>16.289B</v>
      </c>
      <c r="AV9" t="str">
        <f>RTD("gartle.rtd",,"rtd-mysql","fundamentals_yahoo",FundamentalsYahoo_Table1[Symbol],"CompanyName")</f>
        <v>Oracle Corporatio</v>
      </c>
      <c r="AW9" t="str">
        <f>RTD("gartle.rtd",,"rtd-mysql","fundamentals_yahoo",FundamentalsYahoo_Table1[Symbol],"StockExchange")</f>
        <v>NYSE</v>
      </c>
      <c r="AX9" t="e">
        <f>RTD("gartle.rtd",,"rtd-mysql","fundamentals_yahoo",FundamentalsYahoo_Table1[Symbol],"Commission")</f>
        <v>#N/A</v>
      </c>
      <c r="AY9" t="e">
        <f>RTD("gartle.rtd",,"rtd-mysql","fundamentals_yahoo",FundamentalsYahoo_Table1[Symbol],"Notes")</f>
        <v>#N/A</v>
      </c>
      <c r="AZ9" s="7">
        <f>RTD("gartle.rtd",,"rtd-mysql","fundamentals_yahoo",FundamentalsYahoo_Table1[Symbol],"LastUpdateTimeStamp")</f>
        <v>41695.187141203707</v>
      </c>
      <c r="BA9" t="str">
        <f>RTD("gartle.rtd",,"rtd-mysql","fundamentals_yahoo",FundamentalsYahoo_Table1[Symbol],"RTD_LastMessage")</f>
        <v/>
      </c>
    </row>
    <row r="10" spans="2:53" x14ac:dyDescent="0.25">
      <c r="B10">
        <v>6</v>
      </c>
      <c r="C10" t="s">
        <v>163</v>
      </c>
      <c r="D10" s="5">
        <f>RTD("gartle.rtd",,"rtd-mysql","fundamentals_yahoo",FundamentalsYahoo_Table1[Symbol],"LastTradeDate")</f>
        <v>41694</v>
      </c>
      <c r="E10" s="7">
        <f>RTD("gartle.rtd",,"rtd-mysql","fundamentals_yahoo",FundamentalsYahoo_Table1[Symbol],"LastTradeTime")</f>
        <v>0.66666666666666663</v>
      </c>
      <c r="F10" s="8">
        <f>RTD("gartle.rtd",,"rtd-mysql","fundamentals_yahoo",FundamentalsYahoo_Table1[Symbol],"Last")</f>
        <v>37.42</v>
      </c>
      <c r="G10" s="9">
        <f>RTD("gartle.rtd",,"rtd-mysql","fundamentals_yahoo",FundamentalsYahoo_Table1[Symbol],"Change")</f>
        <v>0.13</v>
      </c>
      <c r="H10" s="10">
        <f>RTD("gartle.rtd",,"rtd-mysql","fundamentals_yahoo",FundamentalsYahoo_Table1[Symbol],"PercentChange")</f>
        <v>3.5000000000000001E-3</v>
      </c>
      <c r="I10" s="8">
        <f>RTD("gartle.rtd",,"rtd-mysql","fundamentals_yahoo",FundamentalsYahoo_Table1[Symbol],"Open")</f>
        <v>37.119999999999997</v>
      </c>
      <c r="J10" s="8">
        <f>RTD("gartle.rtd",,"rtd-mysql","fundamentals_yahoo",FundamentalsYahoo_Table1[Symbol],"High")</f>
        <v>37.71</v>
      </c>
      <c r="K10" s="8">
        <f>RTD("gartle.rtd",,"rtd-mysql","fundamentals_yahoo",FundamentalsYahoo_Table1[Symbol],"Low")</f>
        <v>36.82</v>
      </c>
      <c r="L10" s="11">
        <f>RTD("gartle.rtd",,"rtd-mysql","fundamentals_yahoo",FundamentalsYahoo_Table1[Symbol],"Volume")</f>
        <v>15676729</v>
      </c>
      <c r="M10" t="str">
        <f>RTD("gartle.rtd",,"rtd-mysql","fundamentals_yahoo",FundamentalsYahoo_Table1[Symbol],"DaysRange")</f>
        <v>36.82 - 37.71</v>
      </c>
      <c r="N10" s="8">
        <f>RTD("gartle.rtd",,"rtd-mysql","fundamentals_yahoo",FundamentalsYahoo_Table1[Symbol],"PrevClose")</f>
        <v>37.29</v>
      </c>
      <c r="O10">
        <f>RTD("gartle.rtd",,"rtd-mysql","fundamentals_yahoo",FundamentalsYahoo_Table1[Symbol],"ShortRatio")</f>
        <v>1.1000000000000001</v>
      </c>
      <c r="P10" s="8">
        <f>RTD("gartle.rtd",,"rtd-mysql","fundamentals_yahoo",FundamentalsYahoo_Table1[Symbol],"YearHigh")</f>
        <v>41.72</v>
      </c>
      <c r="Q10" s="8">
        <f>RTD("gartle.rtd",,"rtd-mysql","fundamentals_yahoo",FundamentalsYahoo_Table1[Symbol],"YearLow")</f>
        <v>20.58</v>
      </c>
      <c r="R10" t="str">
        <f>RTD("gartle.rtd",,"rtd-mysql","fundamentals_yahoo",FundamentalsYahoo_Table1[Symbol],"YearRange")</f>
        <v>20.58 - 41.72</v>
      </c>
      <c r="S10" s="12">
        <f>RTD("gartle.rtd",,"rtd-mysql","fundamentals_yahoo",FundamentalsYahoo_Table1[Symbol],"ChangeFromYearHigh")</f>
        <v>-4.3</v>
      </c>
      <c r="T10" s="12">
        <f>RTD("gartle.rtd",,"rtd-mysql","fundamentals_yahoo",FundamentalsYahoo_Table1[Symbol],"ChangeFromYearLow")</f>
        <v>16.84</v>
      </c>
      <c r="U10" s="10">
        <f>RTD("gartle.rtd",,"rtd-mysql","fundamentals_yahoo",FundamentalsYahoo_Table1[Symbol],"PercentChangeFromYearHigh")</f>
        <v>-0.1031</v>
      </c>
      <c r="V10" s="10">
        <f>RTD("gartle.rtd",,"rtd-mysql","fundamentals_yahoo",FundamentalsYahoo_Table1[Symbol],"PercentChangeFromYearLow")</f>
        <v>0.81830000000000003</v>
      </c>
      <c r="W10" s="8">
        <f>RTD("gartle.rtd",,"rtd-mysql","fundamentals_yahoo",FundamentalsYahoo_Table1[Symbol],"MA50")</f>
        <v>38.429699999999997</v>
      </c>
      <c r="X10" s="8">
        <f>RTD("gartle.rtd",,"rtd-mysql","fundamentals_yahoo",FundamentalsYahoo_Table1[Symbol],"MA200")</f>
        <v>34.547699999999999</v>
      </c>
      <c r="Y10" s="12">
        <f>RTD("gartle.rtd",,"rtd-mysql","fundamentals_yahoo",FundamentalsYahoo_Table1[Symbol],"ChangeFromMA50")</f>
        <v>-1.0097</v>
      </c>
      <c r="Z10" s="12">
        <f>RTD("gartle.rtd",,"rtd-mysql","fundamentals_yahoo",FundamentalsYahoo_Table1[Symbol],"ChangeFromMA200")</f>
        <v>2.8723000000000001</v>
      </c>
      <c r="AA10" s="10">
        <f>RTD("gartle.rtd",,"rtd-mysql","fundamentals_yahoo",FundamentalsYahoo_Table1[Symbol],"PercentChangeFromMA50")</f>
        <v>-2.63E-2</v>
      </c>
      <c r="AB10" s="10">
        <f>RTD("gartle.rtd",,"rtd-mysql","fundamentals_yahoo",FundamentalsYahoo_Table1[Symbol],"PercentChangeFromMA200")</f>
        <v>8.3099999999999993E-2</v>
      </c>
      <c r="AC10" s="11">
        <f>RTD("gartle.rtd",,"rtd-mysql","fundamentals_yahoo",FundamentalsYahoo_Table1[Symbol],"AverageDailyVolume")</f>
        <v>16849600</v>
      </c>
      <c r="AD10" s="8">
        <f>RTD("gartle.rtd",,"rtd-mysql","fundamentals_yahoo",FundamentalsYahoo_Table1[Symbol],"OneYearTargetPrice")</f>
        <v>41.16</v>
      </c>
      <c r="AE10">
        <f>RTD("gartle.rtd",,"rtd-mysql","fundamentals_yahoo",FundamentalsYahoo_Table1[Symbol],"PE")</f>
        <v>29.6</v>
      </c>
      <c r="AF10">
        <f>RTD("gartle.rtd",,"rtd-mysql","fundamentals_yahoo",FundamentalsYahoo_Table1[Symbol],"PEG")</f>
        <v>3.3</v>
      </c>
      <c r="AG10">
        <f>RTD("gartle.rtd",,"rtd-mysql","fundamentals_yahoo",FundamentalsYahoo_Table1[Symbol],"EPSEstCurrentYear")</f>
        <v>1.58</v>
      </c>
      <c r="AH10">
        <f>RTD("gartle.rtd",,"rtd-mysql","fundamentals_yahoo",FundamentalsYahoo_Table1[Symbol],"EPSEstNextQuarter")</f>
        <v>0.37</v>
      </c>
      <c r="AI10">
        <f>RTD("gartle.rtd",,"rtd-mysql","fundamentals_yahoo",FundamentalsYahoo_Table1[Symbol],"EPSEstNextYear")</f>
        <v>1.8</v>
      </c>
      <c r="AJ10">
        <f>RTD("gartle.rtd",,"rtd-mysql","fundamentals_yahoo",FundamentalsYahoo_Table1[Symbol],"EarningsShare")</f>
        <v>1.26</v>
      </c>
      <c r="AK10" t="str">
        <f>RTD("gartle.rtd",,"rtd-mysql","fundamentals_yahoo",FundamentalsYahoo_Table1[Symbol],"MarketCap")</f>
        <v>38.870B</v>
      </c>
      <c r="AL10" t="e">
        <f>RTD("gartle.rtd",,"rtd-mysql","fundamentals_yahoo",FundamentalsYahoo_Table1[Symbol],"DividendYield")</f>
        <v>#N/A</v>
      </c>
      <c r="AM10">
        <f>RTD("gartle.rtd",,"rtd-mysql","fundamentals_yahoo",FundamentalsYahoo_Table1[Symbol],"DividendShare")</f>
        <v>0</v>
      </c>
      <c r="AN10" t="e">
        <f>RTD("gartle.rtd",,"rtd-mysql","fundamentals_yahoo",FundamentalsYahoo_Table1[Symbol],"ExDividendDate")</f>
        <v>#N/A</v>
      </c>
      <c r="AO10" t="e">
        <f>RTD("gartle.rtd",,"rtd-mysql","fundamentals_yahoo",FundamentalsYahoo_Table1[Symbol],"DividendPayDate")</f>
        <v>#N/A</v>
      </c>
      <c r="AP10">
        <f>RTD("gartle.rtd",,"rtd-mysql","fundamentals_yahoo",FundamentalsYahoo_Table1[Symbol],"BookValue")</f>
        <v>12.587</v>
      </c>
      <c r="AQ10">
        <f>RTD("gartle.rtd",,"rtd-mysql","fundamentals_yahoo",FundamentalsYahoo_Table1[Symbol],"PriceBook")</f>
        <v>2.96</v>
      </c>
      <c r="AR10">
        <f>RTD("gartle.rtd",,"rtd-mysql","fundamentals_yahoo",FundamentalsYahoo_Table1[Symbol],"PriceSales")</f>
        <v>8.2799999999999994</v>
      </c>
      <c r="AS10">
        <f>RTD("gartle.rtd",,"rtd-mysql","fundamentals_yahoo",FundamentalsYahoo_Table1[Symbol],"PriceEPSEstCurrentYear")</f>
        <v>23.6</v>
      </c>
      <c r="AT10">
        <f>RTD("gartle.rtd",,"rtd-mysql","fundamentals_yahoo",FundamentalsYahoo_Table1[Symbol],"PriceEPSEstNextYear")</f>
        <v>20.72</v>
      </c>
      <c r="AU10" t="str">
        <f>RTD("gartle.rtd",,"rtd-mysql","fundamentals_yahoo",FundamentalsYahoo_Table1[Symbol],"EBITDA")</f>
        <v>1.206B</v>
      </c>
      <c r="AV10" t="str">
        <f>RTD("gartle.rtd",,"rtd-mysql","fundamentals_yahoo",FundamentalsYahoo_Table1[Symbol],"CompanyName")</f>
        <v>Yahoo Inc.</v>
      </c>
      <c r="AW10" t="str">
        <f>RTD("gartle.rtd",,"rtd-mysql","fundamentals_yahoo",FundamentalsYahoo_Table1[Symbol],"StockExchange")</f>
        <v>NasdaqNM</v>
      </c>
      <c r="AX10" t="e">
        <f>RTD("gartle.rtd",,"rtd-mysql","fundamentals_yahoo",FundamentalsYahoo_Table1[Symbol],"Commission")</f>
        <v>#N/A</v>
      </c>
      <c r="AY10" t="e">
        <f>RTD("gartle.rtd",,"rtd-mysql","fundamentals_yahoo",FundamentalsYahoo_Table1[Symbol],"Notes")</f>
        <v>#N/A</v>
      </c>
      <c r="AZ10" s="7">
        <f>RTD("gartle.rtd",,"rtd-mysql","fundamentals_yahoo",FundamentalsYahoo_Table1[Symbol],"LastUpdateTimeStamp")</f>
        <v>41695.187141203707</v>
      </c>
      <c r="BA10" t="str">
        <f>RTD("gartle.rtd",,"rtd-mysql","fundamentals_yahoo",FundamentalsYahoo_Table1[Symbol],"RTD_LastMessage")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H4" sqref="H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9.7109375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71</v>
      </c>
      <c r="F3" t="s">
        <v>19</v>
      </c>
      <c r="G3" t="s">
        <v>20</v>
      </c>
      <c r="H3" t="s">
        <v>21</v>
      </c>
      <c r="I3" t="s">
        <v>72</v>
      </c>
      <c r="J3" t="s">
        <v>73</v>
      </c>
      <c r="K3" t="s">
        <v>74</v>
      </c>
      <c r="L3" t="s">
        <v>25</v>
      </c>
      <c r="M3" t="s">
        <v>80</v>
      </c>
      <c r="N3" t="s">
        <v>81</v>
      </c>
      <c r="O3" t="s">
        <v>82</v>
      </c>
      <c r="P3" t="s">
        <v>83</v>
      </c>
      <c r="Q3" t="s">
        <v>84</v>
      </c>
      <c r="R3" t="s">
        <v>85</v>
      </c>
      <c r="S3" t="s">
        <v>86</v>
      </c>
      <c r="T3" t="s">
        <v>87</v>
      </c>
      <c r="U3" t="s">
        <v>88</v>
      </c>
      <c r="V3" t="s">
        <v>89</v>
      </c>
      <c r="W3" t="s">
        <v>90</v>
      </c>
      <c r="X3" t="s">
        <v>91</v>
      </c>
      <c r="Y3" t="s">
        <v>92</v>
      </c>
      <c r="Z3" t="s">
        <v>93</v>
      </c>
      <c r="AA3" t="s">
        <v>94</v>
      </c>
      <c r="AB3" t="s">
        <v>95</v>
      </c>
      <c r="AC3" t="s">
        <v>96</v>
      </c>
      <c r="AD3" t="s">
        <v>97</v>
      </c>
      <c r="AE3" t="s">
        <v>98</v>
      </c>
      <c r="AF3" t="s">
        <v>99</v>
      </c>
      <c r="AG3" t="s">
        <v>100</v>
      </c>
      <c r="AH3" t="s">
        <v>101</v>
      </c>
      <c r="AI3" t="s">
        <v>102</v>
      </c>
      <c r="AJ3" t="s">
        <v>103</v>
      </c>
      <c r="AK3" t="s">
        <v>104</v>
      </c>
      <c r="AL3" t="s">
        <v>105</v>
      </c>
      <c r="AM3" t="s">
        <v>106</v>
      </c>
      <c r="AN3" t="s">
        <v>107</v>
      </c>
      <c r="AO3" t="s">
        <v>108</v>
      </c>
      <c r="AP3" t="s">
        <v>109</v>
      </c>
      <c r="AQ3" t="s">
        <v>110</v>
      </c>
      <c r="AR3" t="s">
        <v>111</v>
      </c>
      <c r="AS3" t="s">
        <v>112</v>
      </c>
      <c r="AT3" t="s">
        <v>113</v>
      </c>
      <c r="AU3" t="s">
        <v>114</v>
      </c>
      <c r="AV3" t="s">
        <v>115</v>
      </c>
      <c r="AW3" t="s">
        <v>116</v>
      </c>
      <c r="AX3" t="s">
        <v>117</v>
      </c>
      <c r="AY3" t="s">
        <v>118</v>
      </c>
      <c r="AZ3" t="s">
        <v>27</v>
      </c>
      <c r="BA3" t="s">
        <v>28</v>
      </c>
    </row>
    <row r="4" spans="2:53" x14ac:dyDescent="0.25">
      <c r="B4">
        <v>0</v>
      </c>
      <c r="C4" t="s">
        <v>160</v>
      </c>
      <c r="D4" s="5">
        <v>41694</v>
      </c>
      <c r="E4" s="7">
        <f>RTD("gartle.rtd",,"rtd-mysql","fundamentals_day_history_yahoo",FundamentalsDayHistoryYahoo_Table1[Symbol],FundamentalsDayHistoryYahoo_Table1[Date],"LastTradeTime")</f>
        <v>0.66666666666666663</v>
      </c>
      <c r="F4" s="8">
        <f>RTD("gartle.rtd",,"rtd-mysql","fundamentals_day_history_yahoo",FundamentalsDayHistoryYahoo_Table1[Symbol],FundamentalsDayHistoryYahoo_Table1[Date],"Last")</f>
        <v>527.54999999999995</v>
      </c>
      <c r="G4" s="9">
        <f>RTD("gartle.rtd",,"rtd-mysql","fundamentals_day_history_yahoo",FundamentalsDayHistoryYahoo_Table1[Symbol],FundamentalsDayHistoryYahoo_Table1[Date],"Change")</f>
        <v>2.2999999999999998</v>
      </c>
      <c r="H4" s="10">
        <f>RTD("gartle.rtd",,"rtd-mysql","fundamentals_day_history_yahoo",FundamentalsDayHistoryYahoo_Table1[Symbol],FundamentalsDayHistoryYahoo_Table1[Date],"PercentChange")</f>
        <v>4.4000000000000003E-3</v>
      </c>
      <c r="I4" s="8">
        <f>RTD("gartle.rtd",,"rtd-mysql","fundamentals_day_history_yahoo",FundamentalsDayHistoryYahoo_Table1[Symbol],FundamentalsDayHistoryYahoo_Table1[Date],"Open")</f>
        <v>523.04</v>
      </c>
      <c r="J4" s="8">
        <f>RTD("gartle.rtd",,"rtd-mysql","fundamentals_day_history_yahoo",FundamentalsDayHistoryYahoo_Table1[Symbol],FundamentalsDayHistoryYahoo_Table1[Date],"High")</f>
        <v>529.91989999999998</v>
      </c>
      <c r="K4" s="8">
        <f>RTD("gartle.rtd",,"rtd-mysql","fundamentals_day_history_yahoo",FundamentalsDayHistoryYahoo_Table1[Symbol],FundamentalsDayHistoryYahoo_Table1[Date],"Low")</f>
        <v>522.41999999999996</v>
      </c>
      <c r="L4" s="11">
        <f>RTD("gartle.rtd",,"rtd-mysql","fundamentals_day_history_yahoo",FundamentalsDayHistoryYahoo_Table1[Symbol],FundamentalsDayHistoryYahoo_Table1[Date],"Volume")</f>
        <v>10135133</v>
      </c>
      <c r="M4" t="str">
        <f>RTD("gartle.rtd",,"rtd-mysql","fundamentals_day_history_yahoo",FundamentalsDayHistoryYahoo_Table1[Symbol],FundamentalsDayHistoryYahoo_Table1[Date],"DaysRange")</f>
        <v>522.42 - 529.9199</v>
      </c>
      <c r="N4" s="8">
        <f>RTD("gartle.rtd",,"rtd-mysql","fundamentals_day_history_yahoo",FundamentalsDayHistoryYahoo_Table1[Symbol],FundamentalsDayHistoryYahoo_Table1[Date],"PrevClose")</f>
        <v>525.25</v>
      </c>
      <c r="O4">
        <f>RTD("gartle.rtd",,"rtd-mysql","fundamentals_day_history_yahoo",FundamentalsDayHistoryYahoo_Table1[Symbol],FundamentalsDayHistoryYahoo_Table1[Date],"ShortRatio")</f>
        <v>1.1000000000000001</v>
      </c>
      <c r="P4" s="8">
        <f>RTD("gartle.rtd",,"rtd-mysql","fundamentals_day_history_yahoo",FundamentalsDayHistoryYahoo_Table1[Symbol],FundamentalsDayHistoryYahoo_Table1[Date],"YearHigh")</f>
        <v>575.14</v>
      </c>
      <c r="Q4" s="8">
        <f>RTD("gartle.rtd",,"rtd-mysql","fundamentals_day_history_yahoo",FundamentalsDayHistoryYahoo_Table1[Symbol],FundamentalsDayHistoryYahoo_Table1[Date],"YearLow")</f>
        <v>385.1</v>
      </c>
      <c r="R4" t="str">
        <f>RTD("gartle.rtd",,"rtd-mysql","fundamentals_day_history_yahoo",FundamentalsDayHistoryYahoo_Table1[Symbol],FundamentalsDayHistoryYahoo_Table1[Date],"YearRange")</f>
        <v>385.10 - 575.14</v>
      </c>
      <c r="S4" s="12">
        <f>RTD("gartle.rtd",,"rtd-mysql","fundamentals_day_history_yahoo",FundamentalsDayHistoryYahoo_Table1[Symbol],FundamentalsDayHistoryYahoo_Table1[Date],"ChangeFromYearHigh")</f>
        <v>-47.59</v>
      </c>
      <c r="T4" s="12">
        <f>RTD("gartle.rtd",,"rtd-mysql","fundamentals_day_history_yahoo",FundamentalsDayHistoryYahoo_Table1[Symbol],FundamentalsDayHistoryYahoo_Table1[Date],"ChangeFromYearLow")</f>
        <v>142.44999999999999</v>
      </c>
      <c r="U4" s="10">
        <f>RTD("gartle.rtd",,"rtd-mysql","fundamentals_day_history_yahoo",FundamentalsDayHistoryYahoo_Table1[Symbol],FundamentalsDayHistoryYahoo_Table1[Date],"PercentChangeFromYearHigh")</f>
        <v>-8.2699999999999996E-2</v>
      </c>
      <c r="V4" s="10">
        <f>RTD("gartle.rtd",,"rtd-mysql","fundamentals_day_history_yahoo",FundamentalsDayHistoryYahoo_Table1[Symbol],FundamentalsDayHistoryYahoo_Table1[Date],"PercentChangeFromYearLow")</f>
        <v>0.36990000000000001</v>
      </c>
      <c r="W4" s="8">
        <f>RTD("gartle.rtd",,"rtd-mysql","fundamentals_day_history_yahoo",FundamentalsDayHistoryYahoo_Table1[Symbol],FundamentalsDayHistoryYahoo_Table1[Date],"MA50")</f>
        <v>532.86400000000003</v>
      </c>
      <c r="X4" s="8">
        <f>RTD("gartle.rtd",,"rtd-mysql","fundamentals_day_history_yahoo",FundamentalsDayHistoryYahoo_Table1[Symbol],FundamentalsDayHistoryYahoo_Table1[Date],"MA200")</f>
        <v>517.43700000000001</v>
      </c>
      <c r="Y4" s="12">
        <f>RTD("gartle.rtd",,"rtd-mysql","fundamentals_day_history_yahoo",FundamentalsDayHistoryYahoo_Table1[Symbol],FundamentalsDayHistoryYahoo_Table1[Date],"ChangeFromMA50")</f>
        <v>-5.3140000000000001</v>
      </c>
      <c r="Z4" s="12">
        <f>RTD("gartle.rtd",,"rtd-mysql","fundamentals_day_history_yahoo",FundamentalsDayHistoryYahoo_Table1[Symbol],FundamentalsDayHistoryYahoo_Table1[Date],"ChangeFromMA200")</f>
        <v>10.113</v>
      </c>
      <c r="AA4" s="10">
        <f>RTD("gartle.rtd",,"rtd-mysql","fundamentals_day_history_yahoo",FundamentalsDayHistoryYahoo_Table1[Symbol],FundamentalsDayHistoryYahoo_Table1[Date],"PercentChangeFromMA50")</f>
        <v>-0.01</v>
      </c>
      <c r="AB4" s="10">
        <f>RTD("gartle.rtd",,"rtd-mysql","fundamentals_day_history_yahoo",FundamentalsDayHistoryYahoo_Table1[Symbol],FundamentalsDayHistoryYahoo_Table1[Date],"PercentChangeFromMA200")</f>
        <v>1.95E-2</v>
      </c>
      <c r="AC4" s="11">
        <f>RTD("gartle.rtd",,"rtd-mysql","fundamentals_day_history_yahoo",FundamentalsDayHistoryYahoo_Table1[Symbol],FundamentalsDayHistoryYahoo_Table1[Date],"AverageDailyVolume")</f>
        <v>12745300</v>
      </c>
      <c r="AD4" s="8">
        <f>RTD("gartle.rtd",,"rtd-mysql","fundamentals_day_history_yahoo",FundamentalsDayHistoryYahoo_Table1[Symbol],FundamentalsDayHistoryYahoo_Table1[Date],"OneYearTargetPrice")</f>
        <v>585.32000000000005</v>
      </c>
      <c r="AE4">
        <f>RTD("gartle.rtd",,"rtd-mysql","fundamentals_day_history_yahoo",FundamentalsDayHistoryYahoo_Table1[Symbol],FundamentalsDayHistoryYahoo_Table1[Date],"PE")</f>
        <v>13.06</v>
      </c>
      <c r="AF4">
        <f>RTD("gartle.rtd",,"rtd-mysql","fundamentals_day_history_yahoo",FundamentalsDayHistoryYahoo_Table1[Symbol],FundamentalsDayHistoryYahoo_Table1[Date],"PEG")</f>
        <v>0.63</v>
      </c>
      <c r="AG4">
        <f>RTD("gartle.rtd",,"rtd-mysql","fundamentals_day_history_yahoo",FundamentalsDayHistoryYahoo_Table1[Symbol],FundamentalsDayHistoryYahoo_Table1[Date],"EPSEstCurrentYear")</f>
        <v>42.77</v>
      </c>
      <c r="AH4">
        <f>RTD("gartle.rtd",,"rtd-mysql","fundamentals_day_history_yahoo",FundamentalsDayHistoryYahoo_Table1[Symbol],FundamentalsDayHistoryYahoo_Table1[Date],"EPSEstNextQuarter")</f>
        <v>8.61</v>
      </c>
      <c r="AI4">
        <f>RTD("gartle.rtd",,"rtd-mysql","fundamentals_day_history_yahoo",FundamentalsDayHistoryYahoo_Table1[Symbol],FundamentalsDayHistoryYahoo_Table1[Date],"EPSEstNextYear")</f>
        <v>46.22</v>
      </c>
      <c r="AJ4">
        <f>RTD("gartle.rtd",,"rtd-mysql","fundamentals_day_history_yahoo",FundamentalsDayHistoryYahoo_Table1[Symbol],FundamentalsDayHistoryYahoo_Table1[Date],"EarningsShare")</f>
        <v>40.232999999999997</v>
      </c>
      <c r="AK4" t="str">
        <f>RTD("gartle.rtd",,"rtd-mysql","fundamentals_day_history_yahoo",FundamentalsDayHistoryYahoo_Table1[Symbol],FundamentalsDayHistoryYahoo_Table1[Date],"MarketCap")</f>
        <v>470.6B</v>
      </c>
      <c r="AL4">
        <f>RTD("gartle.rtd",,"rtd-mysql","fundamentals_day_history_yahoo",FundamentalsDayHistoryYahoo_Table1[Symbol],FundamentalsDayHistoryYahoo_Table1[Date],"DividendYield")</f>
        <v>2.3199999999999998</v>
      </c>
      <c r="AM4">
        <f>RTD("gartle.rtd",,"rtd-mysql","fundamentals_day_history_yahoo",FundamentalsDayHistoryYahoo_Table1[Symbol],FundamentalsDayHistoryYahoo_Table1[Date],"DividendShare")</f>
        <v>12.2</v>
      </c>
      <c r="AN4" t="str">
        <f>RTD("gartle.rtd",,"rtd-mysql","fundamentals_day_history_yahoo",FundamentalsDayHistoryYahoo_Table1[Symbol],FundamentalsDayHistoryYahoo_Table1[Date],"ExDividendDate")</f>
        <v>Feb  6</v>
      </c>
      <c r="AO4" t="str">
        <f>RTD("gartle.rtd",,"rtd-mysql","fundamentals_day_history_yahoo",FundamentalsDayHistoryYahoo_Table1[Symbol],FundamentalsDayHistoryYahoo_Table1[Date],"DividendPayDate")</f>
        <v>Feb 13</v>
      </c>
      <c r="AP4">
        <f>RTD("gartle.rtd",,"rtd-mysql","fundamentals_day_history_yahoo",FundamentalsDayHistoryYahoo_Table1[Symbol],FundamentalsDayHistoryYahoo_Table1[Date],"BookValue")</f>
        <v>145.31299999999999</v>
      </c>
      <c r="AQ4">
        <f>RTD("gartle.rtd",,"rtd-mysql","fundamentals_day_history_yahoo",FundamentalsDayHistoryYahoo_Table1[Symbol],FundamentalsDayHistoryYahoo_Table1[Date],"PriceBook")</f>
        <v>3.61</v>
      </c>
      <c r="AR4">
        <f>RTD("gartle.rtd",,"rtd-mysql","fundamentals_day_history_yahoo",FundamentalsDayHistoryYahoo_Table1[Symbol],FundamentalsDayHistoryYahoo_Table1[Date],"PriceSales")</f>
        <v>2.69</v>
      </c>
      <c r="AS4">
        <f>RTD("gartle.rtd",,"rtd-mysql","fundamentals_day_history_yahoo",FundamentalsDayHistoryYahoo_Table1[Symbol],FundamentalsDayHistoryYahoo_Table1[Date],"PriceEPSEstCurrentYear")</f>
        <v>12.28</v>
      </c>
      <c r="AT4">
        <f>RTD("gartle.rtd",,"rtd-mysql","fundamentals_day_history_yahoo",FundamentalsDayHistoryYahoo_Table1[Symbol],FundamentalsDayHistoryYahoo_Table1[Date],"PriceEPSEstNextYear")</f>
        <v>11.36</v>
      </c>
      <c r="AU4" t="str">
        <f>RTD("gartle.rtd",,"rtd-mysql","fundamentals_day_history_yahoo",FundamentalsDayHistoryYahoo_Table1[Symbol],FundamentalsDayHistoryYahoo_Table1[Date],"EBITDA")</f>
        <v>56.565B</v>
      </c>
      <c r="AV4" t="str">
        <f>RTD("gartle.rtd",,"rtd-mysql","fundamentals_day_history_yahoo",FundamentalsDayHistoryYahoo_Table1[Symbol],FundamentalsDayHistoryYahoo_Table1[Date],"CompanyName")</f>
        <v>Apple Inc.</v>
      </c>
      <c r="AW4" t="str">
        <f>RTD("gartle.rtd",,"rtd-mysql","fundamentals_day_history_yahoo",FundamentalsDayHistoryYahoo_Table1[Symbol],FundamentalsDayHistoryYahoo_Table1[Date],"StockExchange")</f>
        <v>NasdaqNM</v>
      </c>
      <c r="AX4" t="e">
        <f>RTD("gartle.rtd",,"rtd-mysql","fundamentals_day_history_yahoo",FundamentalsDayHistoryYahoo_Table1[Symbol],FundamentalsDayHistoryYahoo_Table1[Date],"Commission")</f>
        <v>#N/A</v>
      </c>
      <c r="AY4" t="e">
        <f>RTD("gartle.rtd",,"rtd-mysql","fundamentals_day_history_yahoo",FundamentalsDayHistoryYahoo_Table1[Symbol],FundamentalsDayHistoryYahoo_Table1[Date],"Notes")</f>
        <v>#N/A</v>
      </c>
      <c r="AZ4" s="7">
        <f>RTD("gartle.rtd",,"rtd-mysql","fundamentals_day_history_yahoo",FundamentalsDayHistoryYahoo_Table1[Symbol],FundamentalsDayHistoryYahoo_Table1[Date],"LastUpdateTimeStamp")</f>
        <v>41695.187141203707</v>
      </c>
      <c r="BA4" t="str">
        <f>RTD("gartle.rtd",,"rtd-mysql","fundamentals_day_history_yahoo",FundamentalsDayHistoryYahoo_Table1[Symbol],FundamentalsDayHistoryYahoo_Table1[Date],"RTD_LastMessage")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159</v>
      </c>
      <c r="D5" s="5">
        <v>41694</v>
      </c>
      <c r="E5" s="7">
        <f>RTD("gartle.rtd",,"rtd-mysql","fundamentals_day_history_yahoo",FundamentalsDayHistoryYahoo_Table1[Symbol],FundamentalsDayHistoryYahoo_Table1[Date],"LastTradeTime")</f>
        <v>0.66666666666666663</v>
      </c>
      <c r="F5" s="8">
        <f>RTD("gartle.rtd",,"rtd-mysql","fundamentals_day_history_yahoo",FundamentalsDayHistoryYahoo_Table1[Symbol],FundamentalsDayHistoryYahoo_Table1[Date],"Last")</f>
        <v>70.78</v>
      </c>
      <c r="G5" s="9">
        <f>RTD("gartle.rtd",,"rtd-mysql","fundamentals_day_history_yahoo",FundamentalsDayHistoryYahoo_Table1[Symbol],FundamentalsDayHistoryYahoo_Table1[Date],"Change")</f>
        <v>2.19</v>
      </c>
      <c r="H5" s="10">
        <f>RTD("gartle.rtd",,"rtd-mysql","fundamentals_day_history_yahoo",FundamentalsDayHistoryYahoo_Table1[Symbol],FundamentalsDayHistoryYahoo_Table1[Date],"PercentChange")</f>
        <v>3.1899999999999998E-2</v>
      </c>
      <c r="I5" s="8">
        <f>RTD("gartle.rtd",,"rtd-mysql","fundamentals_day_history_yahoo",FundamentalsDayHistoryYahoo_Table1[Symbol],FundamentalsDayHistoryYahoo_Table1[Date],"Open")</f>
        <v>68.75</v>
      </c>
      <c r="J5" s="8">
        <f>RTD("gartle.rtd",,"rtd-mysql","fundamentals_day_history_yahoo",FundamentalsDayHistoryYahoo_Table1[Symbol],FundamentalsDayHistoryYahoo_Table1[Date],"High")</f>
        <v>71.44</v>
      </c>
      <c r="K5" s="8">
        <f>RTD("gartle.rtd",,"rtd-mysql","fundamentals_day_history_yahoo",FundamentalsDayHistoryYahoo_Table1[Symbol],FundamentalsDayHistoryYahoo_Table1[Date],"Low")</f>
        <v>68.540000000000006</v>
      </c>
      <c r="L5" s="11">
        <f>RTD("gartle.rtd",,"rtd-mysql","fundamentals_day_history_yahoo",FundamentalsDayHistoryYahoo_Table1[Symbol],FundamentalsDayHistoryYahoo_Table1[Date],"Volume")</f>
        <v>76457640</v>
      </c>
      <c r="M5" t="str">
        <f>RTD("gartle.rtd",,"rtd-mysql","fundamentals_day_history_yahoo",FundamentalsDayHistoryYahoo_Table1[Symbol],FundamentalsDayHistoryYahoo_Table1[Date],"DaysRange")</f>
        <v>68.54 - 71.44</v>
      </c>
      <c r="N5" s="8">
        <f>RTD("gartle.rtd",,"rtd-mysql","fundamentals_day_history_yahoo",FundamentalsDayHistoryYahoo_Table1[Symbol],FundamentalsDayHistoryYahoo_Table1[Date],"PrevClose")</f>
        <v>68.59</v>
      </c>
      <c r="O5">
        <f>RTD("gartle.rtd",,"rtd-mysql","fundamentals_day_history_yahoo",FundamentalsDayHistoryYahoo_Table1[Symbol],FundamentalsDayHistoryYahoo_Table1[Date],"ShortRatio")</f>
        <v>0.6</v>
      </c>
      <c r="P5" s="8">
        <f>RTD("gartle.rtd",,"rtd-mysql","fundamentals_day_history_yahoo",FundamentalsDayHistoryYahoo_Table1[Symbol],FundamentalsDayHistoryYahoo_Table1[Date],"YearHigh")</f>
        <v>70.11</v>
      </c>
      <c r="Q5" s="8">
        <f>RTD("gartle.rtd",,"rtd-mysql","fundamentals_day_history_yahoo",FundamentalsDayHistoryYahoo_Table1[Symbol],FundamentalsDayHistoryYahoo_Table1[Date],"YearLow")</f>
        <v>22.67</v>
      </c>
      <c r="R5" t="str">
        <f>RTD("gartle.rtd",,"rtd-mysql","fundamentals_day_history_yahoo",FundamentalsDayHistoryYahoo_Table1[Symbol],FundamentalsDayHistoryYahoo_Table1[Date],"YearRange")</f>
        <v>22.67 - 70.11</v>
      </c>
      <c r="S5" s="12">
        <f>RTD("gartle.rtd",,"rtd-mysql","fundamentals_day_history_yahoo",FundamentalsDayHistoryYahoo_Table1[Symbol],FundamentalsDayHistoryYahoo_Table1[Date],"ChangeFromYearHigh")</f>
        <v>0.67</v>
      </c>
      <c r="T5" s="12">
        <f>RTD("gartle.rtd",,"rtd-mysql","fundamentals_day_history_yahoo",FundamentalsDayHistoryYahoo_Table1[Symbol],FundamentalsDayHistoryYahoo_Table1[Date],"ChangeFromYearLow")</f>
        <v>48.11</v>
      </c>
      <c r="U5" s="10">
        <f>RTD("gartle.rtd",,"rtd-mysql","fundamentals_day_history_yahoo",FundamentalsDayHistoryYahoo_Table1[Symbol],FundamentalsDayHistoryYahoo_Table1[Date],"PercentChangeFromYearHigh")</f>
        <v>9.5999999999999992E-3</v>
      </c>
      <c r="V5" s="10">
        <f>RTD("gartle.rtd",,"rtd-mysql","fundamentals_day_history_yahoo",FundamentalsDayHistoryYahoo_Table1[Symbol],FundamentalsDayHistoryYahoo_Table1[Date],"PercentChangeFromYearLow")</f>
        <v>2.1221999999999999</v>
      </c>
      <c r="W5" s="8">
        <f>RTD("gartle.rtd",,"rtd-mysql","fundamentals_day_history_yahoo",FundamentalsDayHistoryYahoo_Table1[Symbol],FundamentalsDayHistoryYahoo_Table1[Date],"MA50")</f>
        <v>60.427300000000002</v>
      </c>
      <c r="X5" s="8">
        <f>RTD("gartle.rtd",,"rtd-mysql","fundamentals_day_history_yahoo",FundamentalsDayHistoryYahoo_Table1[Symbol],FundamentalsDayHistoryYahoo_Table1[Date],"MA200")</f>
        <v>50.5473</v>
      </c>
      <c r="Y5" s="12">
        <f>RTD("gartle.rtd",,"rtd-mysql","fundamentals_day_history_yahoo",FundamentalsDayHistoryYahoo_Table1[Symbol],FundamentalsDayHistoryYahoo_Table1[Date],"ChangeFromMA50")</f>
        <v>10.3527</v>
      </c>
      <c r="Z5" s="12">
        <f>RTD("gartle.rtd",,"rtd-mysql","fundamentals_day_history_yahoo",FundamentalsDayHistoryYahoo_Table1[Symbol],FundamentalsDayHistoryYahoo_Table1[Date],"ChangeFromMA200")</f>
        <v>20.232700000000001</v>
      </c>
      <c r="AA5" s="10">
        <f>RTD("gartle.rtd",,"rtd-mysql","fundamentals_day_history_yahoo",FundamentalsDayHistoryYahoo_Table1[Symbol],FundamentalsDayHistoryYahoo_Table1[Date],"PercentChangeFromMA50")</f>
        <v>0.17130000000000001</v>
      </c>
      <c r="AB5" s="10">
        <f>RTD("gartle.rtd",,"rtd-mysql","fundamentals_day_history_yahoo",FundamentalsDayHistoryYahoo_Table1[Symbol],FundamentalsDayHistoryYahoo_Table1[Date],"PercentChangeFromMA200")</f>
        <v>0.40029999999999999</v>
      </c>
      <c r="AC5" s="11">
        <f>RTD("gartle.rtd",,"rtd-mysql","fundamentals_day_history_yahoo",FundamentalsDayHistoryYahoo_Table1[Symbol],FundamentalsDayHistoryYahoo_Table1[Date],"AverageDailyVolume")</f>
        <v>63988700</v>
      </c>
      <c r="AD5" s="8">
        <f>RTD("gartle.rtd",,"rtd-mysql","fundamentals_day_history_yahoo",FundamentalsDayHistoryYahoo_Table1[Symbol],FundamentalsDayHistoryYahoo_Table1[Date],"OneYearTargetPrice")</f>
        <v>70.040000000000006</v>
      </c>
      <c r="AE5">
        <f>RTD("gartle.rtd",,"rtd-mysql","fundamentals_day_history_yahoo",FundamentalsDayHistoryYahoo_Table1[Symbol],FundamentalsDayHistoryYahoo_Table1[Date],"PE")</f>
        <v>112.26</v>
      </c>
      <c r="AF5">
        <f>RTD("gartle.rtd",,"rtd-mysql","fundamentals_day_history_yahoo",FundamentalsDayHistoryYahoo_Table1[Symbol],FundamentalsDayHistoryYahoo_Table1[Date],"PEG")</f>
        <v>1.7</v>
      </c>
      <c r="AG5">
        <f>RTD("gartle.rtd",,"rtd-mysql","fundamentals_day_history_yahoo",FundamentalsDayHistoryYahoo_Table1[Symbol],FundamentalsDayHistoryYahoo_Table1[Date],"EPSEstCurrentYear")</f>
        <v>1.25</v>
      </c>
      <c r="AH5">
        <f>RTD("gartle.rtd",,"rtd-mysql","fundamentals_day_history_yahoo",FundamentalsDayHistoryYahoo_Table1[Symbol],FundamentalsDayHistoryYahoo_Table1[Date],"EPSEstNextQuarter")</f>
        <v>0.28000000000000003</v>
      </c>
      <c r="AI5">
        <f>RTD("gartle.rtd",,"rtd-mysql","fundamentals_day_history_yahoo",FundamentalsDayHistoryYahoo_Table1[Symbol],FundamentalsDayHistoryYahoo_Table1[Date],"EPSEstNextYear")</f>
        <v>1.68</v>
      </c>
      <c r="AJ5">
        <f>RTD("gartle.rtd",,"rtd-mysql","fundamentals_day_history_yahoo",FundamentalsDayHistoryYahoo_Table1[Symbol],FundamentalsDayHistoryYahoo_Table1[Date],"EarningsShare")</f>
        <v>0.61099999999999999</v>
      </c>
      <c r="AK5" t="str">
        <f>RTD("gartle.rtd",,"rtd-mysql","fundamentals_day_history_yahoo",FundamentalsDayHistoryYahoo_Table1[Symbol],FundamentalsDayHistoryYahoo_Table1[Date],"MarketCap")</f>
        <v>180.5B</v>
      </c>
      <c r="AL5" t="e">
        <f>RTD("gartle.rtd",,"rtd-mysql","fundamentals_day_history_yahoo",FundamentalsDayHistoryYahoo_Table1[Symbol],FundamentalsDayHistoryYahoo_Table1[Date],"DividendYield")</f>
        <v>#N/A</v>
      </c>
      <c r="AM5">
        <f>RTD("gartle.rtd",,"rtd-mysql","fundamentals_day_history_yahoo",FundamentalsDayHistoryYahoo_Table1[Symbol],FundamentalsDayHistoryYahoo_Table1[Date],"DividendShare")</f>
        <v>0</v>
      </c>
      <c r="AN5" t="e">
        <f>RTD("gartle.rtd",,"rtd-mysql","fundamentals_day_history_yahoo",FundamentalsDayHistoryYahoo_Table1[Symbol],FundamentalsDayHistoryYahoo_Table1[Date],"ExDividendDate")</f>
        <v>#N/A</v>
      </c>
      <c r="AO5" t="e">
        <f>RTD("gartle.rtd",,"rtd-mysql","fundamentals_day_history_yahoo",FundamentalsDayHistoryYahoo_Table1[Symbol],FundamentalsDayHistoryYahoo_Table1[Date],"DividendPayDate")</f>
        <v>#N/A</v>
      </c>
      <c r="AP5">
        <f>RTD("gartle.rtd",,"rtd-mysql","fundamentals_day_history_yahoo",FundamentalsDayHistoryYahoo_Table1[Symbol],FundamentalsDayHistoryYahoo_Table1[Date],"BookValue")</f>
        <v>6.1040000000000001</v>
      </c>
      <c r="AQ5">
        <f>RTD("gartle.rtd",,"rtd-mysql","fundamentals_day_history_yahoo",FundamentalsDayHistoryYahoo_Table1[Symbol],FundamentalsDayHistoryYahoo_Table1[Date],"PriceBook")</f>
        <v>11.24</v>
      </c>
      <c r="AR5">
        <f>RTD("gartle.rtd",,"rtd-mysql","fundamentals_day_history_yahoo",FundamentalsDayHistoryYahoo_Table1[Symbol],FundamentalsDayHistoryYahoo_Table1[Date],"PriceSales")</f>
        <v>22.22</v>
      </c>
      <c r="AS5">
        <f>RTD("gartle.rtd",,"rtd-mysql","fundamentals_day_history_yahoo",FundamentalsDayHistoryYahoo_Table1[Symbol],FundamentalsDayHistoryYahoo_Table1[Date],"PriceEPSEstCurrentYear")</f>
        <v>54.87</v>
      </c>
      <c r="AT5">
        <f>RTD("gartle.rtd",,"rtd-mysql","fundamentals_day_history_yahoo",FundamentalsDayHistoryYahoo_Table1[Symbol],FundamentalsDayHistoryYahoo_Table1[Date],"PriceEPSEstNextYear")</f>
        <v>40.83</v>
      </c>
      <c r="AU5" t="str">
        <f>RTD("gartle.rtd",,"rtd-mysql","fundamentals_day_history_yahoo",FundamentalsDayHistoryYahoo_Table1[Symbol],FundamentalsDayHistoryYahoo_Table1[Date],"EBITDA")</f>
        <v>3.932B</v>
      </c>
      <c r="AV5" t="str">
        <f>RTD("gartle.rtd",,"rtd-mysql","fundamentals_day_history_yahoo",FundamentalsDayHistoryYahoo_Table1[Symbol],FundamentalsDayHistoryYahoo_Table1[Date],"CompanyName")</f>
        <v>Facebook, Inc.</v>
      </c>
      <c r="AW5" t="str">
        <f>RTD("gartle.rtd",,"rtd-mysql","fundamentals_day_history_yahoo",FundamentalsDayHistoryYahoo_Table1[Symbol],FundamentalsDayHistoryYahoo_Table1[Date],"StockExchange")</f>
        <v>NasdaqNM</v>
      </c>
      <c r="AX5" t="e">
        <f>RTD("gartle.rtd",,"rtd-mysql","fundamentals_day_history_yahoo",FundamentalsDayHistoryYahoo_Table1[Symbol],FundamentalsDayHistoryYahoo_Table1[Date],"Commission")</f>
        <v>#N/A</v>
      </c>
      <c r="AY5" t="e">
        <f>RTD("gartle.rtd",,"rtd-mysql","fundamentals_day_history_yahoo",FundamentalsDayHistoryYahoo_Table1[Symbol],FundamentalsDayHistoryYahoo_Table1[Date],"Notes")</f>
        <v>#N/A</v>
      </c>
      <c r="AZ5" s="7">
        <f>RTD("gartle.rtd",,"rtd-mysql","fundamentals_day_history_yahoo",FundamentalsDayHistoryYahoo_Table1[Symbol],FundamentalsDayHistoryYahoo_Table1[Date],"LastUpdateTimeStamp")</f>
        <v>41695.187141203707</v>
      </c>
      <c r="BA5" t="str">
        <f>RTD("gartle.rtd",,"rtd-mysql","fundamentals_day_history_yahoo",FundamentalsDayHistoryYahoo_Table1[Symbol],FundamentalsDayHistoryYahoo_Table1[Date],"RTD_LastMessage")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157</v>
      </c>
      <c r="D6" s="5">
        <v>41694</v>
      </c>
      <c r="E6" s="7">
        <f>RTD("gartle.rtd",,"rtd-mysql","fundamentals_day_history_yahoo",FundamentalsDayHistoryYahoo_Table1[Symbol],FundamentalsDayHistoryYahoo_Table1[Date],"LastTradeTime")</f>
        <v>0.66666666666666663</v>
      </c>
      <c r="F6" s="8">
        <f>RTD("gartle.rtd",,"rtd-mysql","fundamentals_day_history_yahoo",FundamentalsDayHistoryYahoo_Table1[Symbol],FundamentalsDayHistoryYahoo_Table1[Date],"Last")</f>
        <v>1212.51</v>
      </c>
      <c r="G6" s="9">
        <f>RTD("gartle.rtd",,"rtd-mysql","fundamentals_day_history_yahoo",FundamentalsDayHistoryYahoo_Table1[Symbol],FundamentalsDayHistoryYahoo_Table1[Date],"Change")</f>
        <v>8.7200000000000006</v>
      </c>
      <c r="H6" s="10">
        <f>RTD("gartle.rtd",,"rtd-mysql","fundamentals_day_history_yahoo",FundamentalsDayHistoryYahoo_Table1[Symbol],FundamentalsDayHistoryYahoo_Table1[Date],"PercentChange")</f>
        <v>7.1999999999999998E-3</v>
      </c>
      <c r="I6" s="8">
        <f>RTD("gartle.rtd",,"rtd-mysql","fundamentals_day_history_yahoo",FundamentalsDayHistoryYahoo_Table1[Symbol],FundamentalsDayHistoryYahoo_Table1[Date],"Open")</f>
        <v>1205.25</v>
      </c>
      <c r="J6" s="8">
        <f>RTD("gartle.rtd",,"rtd-mysql","fundamentals_day_history_yahoo",FundamentalsDayHistoryYahoo_Table1[Symbol],FundamentalsDayHistoryYahoo_Table1[Date],"High")</f>
        <v>1220.1600000000001</v>
      </c>
      <c r="K6" s="8">
        <f>RTD("gartle.rtd",,"rtd-mysql","fundamentals_day_history_yahoo",FundamentalsDayHistoryYahoo_Table1[Symbol],FundamentalsDayHistoryYahoo_Table1[Date],"Low")</f>
        <v>1205.0999999999999</v>
      </c>
      <c r="L6" s="11">
        <f>RTD("gartle.rtd",,"rtd-mysql","fundamentals_day_history_yahoo",FundamentalsDayHistoryYahoo_Table1[Symbol],FundamentalsDayHistoryYahoo_Table1[Date],"Volume")</f>
        <v>1620226</v>
      </c>
      <c r="M6" t="str">
        <f>RTD("gartle.rtd",,"rtd-mysql","fundamentals_day_history_yahoo",FundamentalsDayHistoryYahoo_Table1[Symbol],FundamentalsDayHistoryYahoo_Table1[Date],"DaysRange")</f>
        <v>1205.10 - 1220.16</v>
      </c>
      <c r="N6" s="8">
        <f>RTD("gartle.rtd",,"rtd-mysql","fundamentals_day_history_yahoo",FundamentalsDayHistoryYahoo_Table1[Symbol],FundamentalsDayHistoryYahoo_Table1[Date],"PrevClose")</f>
        <v>1203.79</v>
      </c>
      <c r="O6">
        <f>RTD("gartle.rtd",,"rtd-mysql","fundamentals_day_history_yahoo",FundamentalsDayHistoryYahoo_Table1[Symbol],FundamentalsDayHistoryYahoo_Table1[Date],"ShortRatio")</f>
        <v>1.1000000000000001</v>
      </c>
      <c r="P6" s="8">
        <f>RTD("gartle.rtd",,"rtd-mysql","fundamentals_day_history_yahoo",FundamentalsDayHistoryYahoo_Table1[Symbol],FundamentalsDayHistoryYahoo_Table1[Date],"YearHigh")</f>
        <v>1212.8699999999999</v>
      </c>
      <c r="Q6" s="8">
        <f>RTD("gartle.rtd",,"rtd-mysql","fundamentals_day_history_yahoo",FundamentalsDayHistoryYahoo_Table1[Symbol],FundamentalsDayHistoryYahoo_Table1[Date],"YearLow")</f>
        <v>761.26</v>
      </c>
      <c r="R6" t="str">
        <f>RTD("gartle.rtd",,"rtd-mysql","fundamentals_day_history_yahoo",FundamentalsDayHistoryYahoo_Table1[Symbol],FundamentalsDayHistoryYahoo_Table1[Date],"YearRange")</f>
        <v>761.26 - 1212.87</v>
      </c>
      <c r="S6" s="12">
        <f>RTD("gartle.rtd",,"rtd-mysql","fundamentals_day_history_yahoo",FundamentalsDayHistoryYahoo_Table1[Symbol],FundamentalsDayHistoryYahoo_Table1[Date],"ChangeFromYearHigh")</f>
        <v>-0.36</v>
      </c>
      <c r="T6" s="12">
        <f>RTD("gartle.rtd",,"rtd-mysql","fundamentals_day_history_yahoo",FundamentalsDayHistoryYahoo_Table1[Symbol],FundamentalsDayHistoryYahoo_Table1[Date],"ChangeFromYearLow")</f>
        <v>451.25</v>
      </c>
      <c r="U6" s="10">
        <f>RTD("gartle.rtd",,"rtd-mysql","fundamentals_day_history_yahoo",FundamentalsDayHistoryYahoo_Table1[Symbol],FundamentalsDayHistoryYahoo_Table1[Date],"PercentChangeFromYearHigh")</f>
        <v>-2.9999999999999997E-4</v>
      </c>
      <c r="V6" s="10">
        <f>RTD("gartle.rtd",,"rtd-mysql","fundamentals_day_history_yahoo",FundamentalsDayHistoryYahoo_Table1[Symbol],FundamentalsDayHistoryYahoo_Table1[Date],"PercentChangeFromYearLow")</f>
        <v>0.59279999999999999</v>
      </c>
      <c r="W6" s="8">
        <f>RTD("gartle.rtd",,"rtd-mysql","fundamentals_day_history_yahoo",FundamentalsDayHistoryYahoo_Table1[Symbol],FundamentalsDayHistoryYahoo_Table1[Date],"MA50")</f>
        <v>1155.1899000000001</v>
      </c>
      <c r="X6" s="8">
        <f>RTD("gartle.rtd",,"rtd-mysql","fundamentals_day_history_yahoo",FundamentalsDayHistoryYahoo_Table1[Symbol],FundamentalsDayHistoryYahoo_Table1[Date],"MA200")</f>
        <v>1011.66</v>
      </c>
      <c r="Y6" s="12">
        <f>RTD("gartle.rtd",,"rtd-mysql","fundamentals_day_history_yahoo",FundamentalsDayHistoryYahoo_Table1[Symbol],FundamentalsDayHistoryYahoo_Table1[Date],"ChangeFromMA50")</f>
        <v>57.320099999999996</v>
      </c>
      <c r="Z6" s="12">
        <f>RTD("gartle.rtd",,"rtd-mysql","fundamentals_day_history_yahoo",FundamentalsDayHistoryYahoo_Table1[Symbol],FundamentalsDayHistoryYahoo_Table1[Date],"ChangeFromMA200")</f>
        <v>200.85</v>
      </c>
      <c r="AA6" s="10">
        <f>RTD("gartle.rtd",,"rtd-mysql","fundamentals_day_history_yahoo",FundamentalsDayHistoryYahoo_Table1[Symbol],FundamentalsDayHistoryYahoo_Table1[Date],"PercentChangeFromMA50")</f>
        <v>4.9599999999999998E-2</v>
      </c>
      <c r="AB6" s="10">
        <f>RTD("gartle.rtd",,"rtd-mysql","fundamentals_day_history_yahoo",FundamentalsDayHistoryYahoo_Table1[Symbol],FundamentalsDayHistoryYahoo_Table1[Date],"PercentChangeFromMA200")</f>
        <v>0.19850000000000001</v>
      </c>
      <c r="AC6" s="11">
        <f>RTD("gartle.rtd",,"rtd-mysql","fundamentals_day_history_yahoo",FundamentalsDayHistoryYahoo_Table1[Symbol],FundamentalsDayHistoryYahoo_Table1[Date],"AverageDailyVolume")</f>
        <v>2093480</v>
      </c>
      <c r="AD6" s="8">
        <f>RTD("gartle.rtd",,"rtd-mysql","fundamentals_day_history_yahoo",FundamentalsDayHistoryYahoo_Table1[Symbol],FundamentalsDayHistoryYahoo_Table1[Date],"OneYearTargetPrice")</f>
        <v>1317.38</v>
      </c>
      <c r="AE6">
        <f>RTD("gartle.rtd",,"rtd-mysql","fundamentals_day_history_yahoo",FundamentalsDayHistoryYahoo_Table1[Symbol],FundamentalsDayHistoryYahoo_Table1[Date],"PE")</f>
        <v>31.66</v>
      </c>
      <c r="AF6">
        <f>RTD("gartle.rtd",,"rtd-mysql","fundamentals_day_history_yahoo",FundamentalsDayHistoryYahoo_Table1[Symbol],FundamentalsDayHistoryYahoo_Table1[Date],"PEG")</f>
        <v>1.38</v>
      </c>
      <c r="AG6">
        <f>RTD("gartle.rtd",,"rtd-mysql","fundamentals_day_history_yahoo",FundamentalsDayHistoryYahoo_Table1[Symbol],FundamentalsDayHistoryYahoo_Table1[Date],"EPSEstCurrentYear")</f>
        <v>51.81</v>
      </c>
      <c r="AH6">
        <f>RTD("gartle.rtd",,"rtd-mysql","fundamentals_day_history_yahoo",FundamentalsDayHistoryYahoo_Table1[Symbol],FundamentalsDayHistoryYahoo_Table1[Date],"EPSEstNextQuarter")</f>
        <v>12.04</v>
      </c>
      <c r="AI6">
        <f>RTD("gartle.rtd",,"rtd-mysql","fundamentals_day_history_yahoo",FundamentalsDayHistoryYahoo_Table1[Symbol],FundamentalsDayHistoryYahoo_Table1[Date],"EPSEstNextYear")</f>
        <v>61.24</v>
      </c>
      <c r="AJ6">
        <f>RTD("gartle.rtd",,"rtd-mysql","fundamentals_day_history_yahoo",FundamentalsDayHistoryYahoo_Table1[Symbol],FundamentalsDayHistoryYahoo_Table1[Date],"EarningsShare")</f>
        <v>38.021000000000001</v>
      </c>
      <c r="AK6" t="str">
        <f>RTD("gartle.rtd",,"rtd-mysql","fundamentals_day_history_yahoo",FundamentalsDayHistoryYahoo_Table1[Symbol],FundamentalsDayHistoryYahoo_Table1[Date],"MarketCap")</f>
        <v>407.5B</v>
      </c>
      <c r="AL6" t="e">
        <f>RTD("gartle.rtd",,"rtd-mysql","fundamentals_day_history_yahoo",FundamentalsDayHistoryYahoo_Table1[Symbol],FundamentalsDayHistoryYahoo_Table1[Date],"DividendYield")</f>
        <v>#N/A</v>
      </c>
      <c r="AM6">
        <f>RTD("gartle.rtd",,"rtd-mysql","fundamentals_day_history_yahoo",FundamentalsDayHistoryYahoo_Table1[Symbol],FundamentalsDayHistoryYahoo_Table1[Date],"DividendShare")</f>
        <v>0</v>
      </c>
      <c r="AN6" t="e">
        <f>RTD("gartle.rtd",,"rtd-mysql","fundamentals_day_history_yahoo",FundamentalsDayHistoryYahoo_Table1[Symbol],FundamentalsDayHistoryYahoo_Table1[Date],"ExDividendDate")</f>
        <v>#N/A</v>
      </c>
      <c r="AO6" t="e">
        <f>RTD("gartle.rtd",,"rtd-mysql","fundamentals_day_history_yahoo",FundamentalsDayHistoryYahoo_Table1[Symbol],FundamentalsDayHistoryYahoo_Table1[Date],"DividendPayDate")</f>
        <v>#N/A</v>
      </c>
      <c r="AP6">
        <f>RTD("gartle.rtd",,"rtd-mysql","fundamentals_day_history_yahoo",FundamentalsDayHistoryYahoo_Table1[Symbol],FundamentalsDayHistoryYahoo_Table1[Date],"BookValue")</f>
        <v>259.97800000000001</v>
      </c>
      <c r="AQ6">
        <f>RTD("gartle.rtd",,"rtd-mysql","fundamentals_day_history_yahoo",FundamentalsDayHistoryYahoo_Table1[Symbol],FundamentalsDayHistoryYahoo_Table1[Date],"PriceBook")</f>
        <v>4.63</v>
      </c>
      <c r="AR6">
        <f>RTD("gartle.rtd",,"rtd-mysql","fundamentals_day_history_yahoo",FundamentalsDayHistoryYahoo_Table1[Symbol],FundamentalsDayHistoryYahoo_Table1[Date],"PriceSales")</f>
        <v>6.76</v>
      </c>
      <c r="AS6">
        <f>RTD("gartle.rtd",,"rtd-mysql","fundamentals_day_history_yahoo",FundamentalsDayHistoryYahoo_Table1[Symbol],FundamentalsDayHistoryYahoo_Table1[Date],"PriceEPSEstCurrentYear")</f>
        <v>23.23</v>
      </c>
      <c r="AT6">
        <f>RTD("gartle.rtd",,"rtd-mysql","fundamentals_day_history_yahoo",FundamentalsDayHistoryYahoo_Table1[Symbol],FundamentalsDayHistoryYahoo_Table1[Date],"PriceEPSEstNextYear")</f>
        <v>19.66</v>
      </c>
      <c r="AU6" t="str">
        <f>RTD("gartle.rtd",,"rtd-mysql","fundamentals_day_history_yahoo",FundamentalsDayHistoryYahoo_Table1[Symbol],FundamentalsDayHistoryYahoo_Table1[Date],"EBITDA")</f>
        <v>18.028B</v>
      </c>
      <c r="AV6" t="str">
        <f>RTD("gartle.rtd",,"rtd-mysql","fundamentals_day_history_yahoo",FundamentalsDayHistoryYahoo_Table1[Symbol],FundamentalsDayHistoryYahoo_Table1[Date],"CompanyName")</f>
        <v>Google Inc.</v>
      </c>
      <c r="AW6" t="str">
        <f>RTD("gartle.rtd",,"rtd-mysql","fundamentals_day_history_yahoo",FundamentalsDayHistoryYahoo_Table1[Symbol],FundamentalsDayHistoryYahoo_Table1[Date],"StockExchange")</f>
        <v>NasdaqNM</v>
      </c>
      <c r="AX6" t="e">
        <f>RTD("gartle.rtd",,"rtd-mysql","fundamentals_day_history_yahoo",FundamentalsDayHistoryYahoo_Table1[Symbol],FundamentalsDayHistoryYahoo_Table1[Date],"Commission")</f>
        <v>#N/A</v>
      </c>
      <c r="AY6" t="e">
        <f>RTD("gartle.rtd",,"rtd-mysql","fundamentals_day_history_yahoo",FundamentalsDayHistoryYahoo_Table1[Symbol],FundamentalsDayHistoryYahoo_Table1[Date],"Notes")</f>
        <v>#N/A</v>
      </c>
      <c r="AZ6" s="7">
        <f>RTD("gartle.rtd",,"rtd-mysql","fundamentals_day_history_yahoo",FundamentalsDayHistoryYahoo_Table1[Symbol],FundamentalsDayHistoryYahoo_Table1[Date],"LastUpdateTimeStamp")</f>
        <v>41695.187141203707</v>
      </c>
      <c r="BA6" t="str">
        <f>RTD("gartle.rtd",,"rtd-mysql","fundamentals_day_history_yahoo",FundamentalsDayHistoryYahoo_Table1[Symbol],FundamentalsDayHistoryYahoo_Table1[Date],"RTD_LastMessage")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162</v>
      </c>
      <c r="D7" s="5">
        <v>41694</v>
      </c>
      <c r="E7" s="7">
        <f>RTD("gartle.rtd",,"rtd-mysql","fundamentals_day_history_yahoo",FundamentalsDayHistoryYahoo_Table1[Symbol],FundamentalsDayHistoryYahoo_Table1[Date],"LastTradeTime")</f>
        <v>0.66666666666666663</v>
      </c>
      <c r="F7" s="8">
        <f>RTD("gartle.rtd",,"rtd-mysql","fundamentals_day_history_yahoo",FundamentalsDayHistoryYahoo_Table1[Symbol],FundamentalsDayHistoryYahoo_Table1[Date],"Last")</f>
        <v>199.59</v>
      </c>
      <c r="G7" s="9">
        <f>RTD("gartle.rtd",,"rtd-mysql","fundamentals_day_history_yahoo",FundamentalsDayHistoryYahoo_Table1[Symbol],FundamentalsDayHistoryYahoo_Table1[Date],"Change")</f>
        <v>6.97</v>
      </c>
      <c r="H7" s="10">
        <f>RTD("gartle.rtd",,"rtd-mysql","fundamentals_day_history_yahoo",FundamentalsDayHistoryYahoo_Table1[Symbol],FundamentalsDayHistoryYahoo_Table1[Date],"PercentChange")</f>
        <v>3.6200000000000003E-2</v>
      </c>
      <c r="I7" s="8">
        <f>RTD("gartle.rtd",,"rtd-mysql","fundamentals_day_history_yahoo",FundamentalsDayHistoryYahoo_Table1[Symbol],FundamentalsDayHistoryYahoo_Table1[Date],"Open")</f>
        <v>191.86</v>
      </c>
      <c r="J7" s="8">
        <f>RTD("gartle.rtd",,"rtd-mysql","fundamentals_day_history_yahoo",FundamentalsDayHistoryYahoo_Table1[Symbol],FundamentalsDayHistoryYahoo_Table1[Date],"High")</f>
        <v>199.88</v>
      </c>
      <c r="K7" s="8">
        <f>RTD("gartle.rtd",,"rtd-mysql","fundamentals_day_history_yahoo",FundamentalsDayHistoryYahoo_Table1[Symbol],FundamentalsDayHistoryYahoo_Table1[Date],"Low")</f>
        <v>191.51</v>
      </c>
      <c r="L7" s="11">
        <f>RTD("gartle.rtd",,"rtd-mysql","fundamentals_day_history_yahoo",FundamentalsDayHistoryYahoo_Table1[Symbol],FundamentalsDayHistoryYahoo_Table1[Date],"Volume")</f>
        <v>2718990</v>
      </c>
      <c r="M7" t="str">
        <f>RTD("gartle.rtd",,"rtd-mysql","fundamentals_day_history_yahoo",FundamentalsDayHistoryYahoo_Table1[Symbol],FundamentalsDayHistoryYahoo_Table1[Date],"DaysRange")</f>
        <v>191.51 - 199.88</v>
      </c>
      <c r="N7" s="8">
        <f>RTD("gartle.rtd",,"rtd-mysql","fundamentals_day_history_yahoo",FundamentalsDayHistoryYahoo_Table1[Symbol],FundamentalsDayHistoryYahoo_Table1[Date],"PrevClose")</f>
        <v>192.62</v>
      </c>
      <c r="O7">
        <f>RTD("gartle.rtd",,"rtd-mysql","fundamentals_day_history_yahoo",FundamentalsDayHistoryYahoo_Table1[Symbol],FundamentalsDayHistoryYahoo_Table1[Date],"ShortRatio")</f>
        <v>1.7</v>
      </c>
      <c r="P7" s="8">
        <f>RTD("gartle.rtd",,"rtd-mysql","fundamentals_day_history_yahoo",FundamentalsDayHistoryYahoo_Table1[Symbol],FundamentalsDayHistoryYahoo_Table1[Date],"YearHigh")</f>
        <v>257.56</v>
      </c>
      <c r="Q7" s="8">
        <f>RTD("gartle.rtd",,"rtd-mysql","fundamentals_day_history_yahoo",FundamentalsDayHistoryYahoo_Table1[Symbol],FundamentalsDayHistoryYahoo_Table1[Date],"YearLow")</f>
        <v>155</v>
      </c>
      <c r="R7" t="str">
        <f>RTD("gartle.rtd",,"rtd-mysql","fundamentals_day_history_yahoo",FundamentalsDayHistoryYahoo_Table1[Symbol],FundamentalsDayHistoryYahoo_Table1[Date],"YearRange")</f>
        <v>155.00 - 257.56</v>
      </c>
      <c r="S7" s="12">
        <f>RTD("gartle.rtd",,"rtd-mysql","fundamentals_day_history_yahoo",FundamentalsDayHistoryYahoo_Table1[Symbol],FundamentalsDayHistoryYahoo_Table1[Date],"ChangeFromYearHigh")</f>
        <v>-57.97</v>
      </c>
      <c r="T7" s="12">
        <f>RTD("gartle.rtd",,"rtd-mysql","fundamentals_day_history_yahoo",FundamentalsDayHistoryYahoo_Table1[Symbol],FundamentalsDayHistoryYahoo_Table1[Date],"ChangeFromYearLow")</f>
        <v>44.59</v>
      </c>
      <c r="U7" s="10">
        <f>RTD("gartle.rtd",,"rtd-mysql","fundamentals_day_history_yahoo",FundamentalsDayHistoryYahoo_Table1[Symbol],FundamentalsDayHistoryYahoo_Table1[Date],"PercentChangeFromYearHigh")</f>
        <v>-0.22509999999999999</v>
      </c>
      <c r="V7" s="10">
        <f>RTD("gartle.rtd",,"rtd-mysql","fundamentals_day_history_yahoo",FundamentalsDayHistoryYahoo_Table1[Symbol],FundamentalsDayHistoryYahoo_Table1[Date],"PercentChangeFromYearLow")</f>
        <v>0.28770000000000001</v>
      </c>
      <c r="W7" s="8">
        <f>RTD("gartle.rtd",,"rtd-mysql","fundamentals_day_history_yahoo",FundamentalsDayHistoryYahoo_Table1[Symbol],FundamentalsDayHistoryYahoo_Table1[Date],"MA50")</f>
        <v>209.27</v>
      </c>
      <c r="X7" s="8">
        <f>RTD("gartle.rtd",,"rtd-mysql","fundamentals_day_history_yahoo",FundamentalsDayHistoryYahoo_Table1[Symbol],FundamentalsDayHistoryYahoo_Table1[Date],"MA200")</f>
        <v>226.941</v>
      </c>
      <c r="Y7" s="12">
        <f>RTD("gartle.rtd",,"rtd-mysql","fundamentals_day_history_yahoo",FundamentalsDayHistoryYahoo_Table1[Symbol],FundamentalsDayHistoryYahoo_Table1[Date],"ChangeFromMA50")</f>
        <v>-9.68</v>
      </c>
      <c r="Z7" s="12">
        <f>RTD("gartle.rtd",,"rtd-mysql","fundamentals_day_history_yahoo",FundamentalsDayHistoryYahoo_Table1[Symbol],FundamentalsDayHistoryYahoo_Table1[Date],"ChangeFromMA200")</f>
        <v>-27.350999999999999</v>
      </c>
      <c r="AA7" s="10">
        <f>RTD("gartle.rtd",,"rtd-mysql","fundamentals_day_history_yahoo",FundamentalsDayHistoryYahoo_Table1[Symbol],FundamentalsDayHistoryYahoo_Table1[Date],"PercentChangeFromMA50")</f>
        <v>-4.6300000000000001E-2</v>
      </c>
      <c r="AB7" s="10">
        <f>RTD("gartle.rtd",,"rtd-mysql","fundamentals_day_history_yahoo",FundamentalsDayHistoryYahoo_Table1[Symbol],FundamentalsDayHistoryYahoo_Table1[Date],"PercentChangeFromMA200")</f>
        <v>-0.1205</v>
      </c>
      <c r="AC7" s="11">
        <f>RTD("gartle.rtd",,"rtd-mysql","fundamentals_day_history_yahoo",FundamentalsDayHistoryYahoo_Table1[Symbol],FundamentalsDayHistoryYahoo_Table1[Date],"AverageDailyVolume")</f>
        <v>2557250</v>
      </c>
      <c r="AD7" s="8">
        <f>RTD("gartle.rtd",,"rtd-mysql","fundamentals_day_history_yahoo",FundamentalsDayHistoryYahoo_Table1[Symbol],FundamentalsDayHistoryYahoo_Table1[Date],"OneYearTargetPrice")</f>
        <v>251.47</v>
      </c>
      <c r="AE7">
        <f>RTD("gartle.rtd",,"rtd-mysql","fundamentals_day_history_yahoo",FundamentalsDayHistoryYahoo_Table1[Symbol],FundamentalsDayHistoryYahoo_Table1[Date],"PE")</f>
        <v>863.77</v>
      </c>
      <c r="AF7">
        <f>RTD("gartle.rtd",,"rtd-mysql","fundamentals_day_history_yahoo",FundamentalsDayHistoryYahoo_Table1[Symbol],FundamentalsDayHistoryYahoo_Table1[Date],"PEG")</f>
        <v>3.16</v>
      </c>
      <c r="AG7">
        <f>RTD("gartle.rtd",,"rtd-mysql","fundamentals_day_history_yahoo",FundamentalsDayHistoryYahoo_Table1[Symbol],FundamentalsDayHistoryYahoo_Table1[Date],"EPSEstCurrentYear")</f>
        <v>1.58</v>
      </c>
      <c r="AH7">
        <f>RTD("gartle.rtd",,"rtd-mysql","fundamentals_day_history_yahoo",FundamentalsDayHistoryYahoo_Table1[Symbol],FundamentalsDayHistoryYahoo_Table1[Date],"EPSEstNextQuarter")</f>
        <v>0.37</v>
      </c>
      <c r="AI7">
        <f>RTD("gartle.rtd",,"rtd-mysql","fundamentals_day_history_yahoo",FundamentalsDayHistoryYahoo_Table1[Symbol],FundamentalsDayHistoryYahoo_Table1[Date],"EPSEstNextYear")</f>
        <v>2.5099999999999998</v>
      </c>
      <c r="AJ7">
        <f>RTD("gartle.rtd",,"rtd-mysql","fundamentals_day_history_yahoo",FundamentalsDayHistoryYahoo_Table1[Symbol],FundamentalsDayHistoryYahoo_Table1[Date],"EarningsShare")</f>
        <v>0.223</v>
      </c>
      <c r="AK7" t="str">
        <f>RTD("gartle.rtd",,"rtd-mysql","fundamentals_day_history_yahoo",FundamentalsDayHistoryYahoo_Table1[Symbol],FundamentalsDayHistoryYahoo_Table1[Date],"MarketCap")</f>
        <v>24.057B</v>
      </c>
      <c r="AL7" t="e">
        <f>RTD("gartle.rtd",,"rtd-mysql","fundamentals_day_history_yahoo",FundamentalsDayHistoryYahoo_Table1[Symbol],FundamentalsDayHistoryYahoo_Table1[Date],"DividendYield")</f>
        <v>#N/A</v>
      </c>
      <c r="AM7">
        <f>RTD("gartle.rtd",,"rtd-mysql","fundamentals_day_history_yahoo",FundamentalsDayHistoryYahoo_Table1[Symbol],FundamentalsDayHistoryYahoo_Table1[Date],"DividendShare")</f>
        <v>0</v>
      </c>
      <c r="AN7" t="e">
        <f>RTD("gartle.rtd",,"rtd-mysql","fundamentals_day_history_yahoo",FundamentalsDayHistoryYahoo_Table1[Symbol],FundamentalsDayHistoryYahoo_Table1[Date],"ExDividendDate")</f>
        <v>#N/A</v>
      </c>
      <c r="AO7" t="e">
        <f>RTD("gartle.rtd",,"rtd-mysql","fundamentals_day_history_yahoo",FundamentalsDayHistoryYahoo_Table1[Symbol],FundamentalsDayHistoryYahoo_Table1[Date],"DividendPayDate")</f>
        <v>#N/A</v>
      </c>
      <c r="AP7">
        <f>RTD("gartle.rtd",,"rtd-mysql","fundamentals_day_history_yahoo",FundamentalsDayHistoryYahoo_Table1[Symbol],FundamentalsDayHistoryYahoo_Table1[Date],"BookValue")</f>
        <v>21.847999999999999</v>
      </c>
      <c r="AQ7">
        <f>RTD("gartle.rtd",,"rtd-mysql","fundamentals_day_history_yahoo",FundamentalsDayHistoryYahoo_Table1[Symbol],FundamentalsDayHistoryYahoo_Table1[Date],"PriceBook")</f>
        <v>8.82</v>
      </c>
      <c r="AR7">
        <f>RTD("gartle.rtd",,"rtd-mysql","fundamentals_day_history_yahoo",FundamentalsDayHistoryYahoo_Table1[Symbol],FundamentalsDayHistoryYahoo_Table1[Date],"PriceSales")</f>
        <v>15.19</v>
      </c>
      <c r="AS7">
        <f>RTD("gartle.rtd",,"rtd-mysql","fundamentals_day_history_yahoo",FundamentalsDayHistoryYahoo_Table1[Symbol],FundamentalsDayHistoryYahoo_Table1[Date],"PriceEPSEstCurrentYear")</f>
        <v>121.91</v>
      </c>
      <c r="AT7">
        <f>RTD("gartle.rtd",,"rtd-mysql","fundamentals_day_history_yahoo",FundamentalsDayHistoryYahoo_Table1[Symbol],FundamentalsDayHistoryYahoo_Table1[Date],"PriceEPSEstNextYear")</f>
        <v>76.739999999999995</v>
      </c>
      <c r="AU7" t="str">
        <f>RTD("gartle.rtd",,"rtd-mysql","fundamentals_day_history_yahoo",FundamentalsDayHistoryYahoo_Table1[Symbol],FundamentalsDayHistoryYahoo_Table1[Date],"EBITDA")</f>
        <v>166.7M</v>
      </c>
      <c r="AV7" t="str">
        <f>RTD("gartle.rtd",,"rtd-mysql","fundamentals_day_history_yahoo",FundamentalsDayHistoryYahoo_Table1[Symbol],FundamentalsDayHistoryYahoo_Table1[Date],"CompanyName")</f>
        <v>LinkedIn Corporat</v>
      </c>
      <c r="AW7" t="str">
        <f>RTD("gartle.rtd",,"rtd-mysql","fundamentals_day_history_yahoo",FundamentalsDayHistoryYahoo_Table1[Symbol],FundamentalsDayHistoryYahoo_Table1[Date],"StockExchange")</f>
        <v>NYSE</v>
      </c>
      <c r="AX7" t="e">
        <f>RTD("gartle.rtd",,"rtd-mysql","fundamentals_day_history_yahoo",FundamentalsDayHistoryYahoo_Table1[Symbol],FundamentalsDayHistoryYahoo_Table1[Date],"Commission")</f>
        <v>#N/A</v>
      </c>
      <c r="AY7" t="e">
        <f>RTD("gartle.rtd",,"rtd-mysql","fundamentals_day_history_yahoo",FundamentalsDayHistoryYahoo_Table1[Symbol],FundamentalsDayHistoryYahoo_Table1[Date],"Notes")</f>
        <v>#N/A</v>
      </c>
      <c r="AZ7" s="7">
        <f>RTD("gartle.rtd",,"rtd-mysql","fundamentals_day_history_yahoo",FundamentalsDayHistoryYahoo_Table1[Symbol],FundamentalsDayHistoryYahoo_Table1[Date],"LastUpdateTimeStamp")</f>
        <v>41695.187141203707</v>
      </c>
      <c r="BA7" t="str">
        <f>RTD("gartle.rtd",,"rtd-mysql","fundamentals_day_history_yahoo",FundamentalsDayHistoryYahoo_Table1[Symbol],FundamentalsDayHistoryYahoo_Table1[Date],"RTD_LastMessage")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158</v>
      </c>
      <c r="D8" s="5">
        <v>41694</v>
      </c>
      <c r="E8" s="7">
        <f>RTD("gartle.rtd",,"rtd-mysql","fundamentals_day_history_yahoo",FundamentalsDayHistoryYahoo_Table1[Symbol],FundamentalsDayHistoryYahoo_Table1[Date],"LastTradeTime")</f>
        <v>0.66666666666666663</v>
      </c>
      <c r="F8" s="8">
        <f>RTD("gartle.rtd",,"rtd-mysql","fundamentals_day_history_yahoo",FundamentalsDayHistoryYahoo_Table1[Symbol],FundamentalsDayHistoryYahoo_Table1[Date],"Last")</f>
        <v>37.69</v>
      </c>
      <c r="G8" s="9">
        <f>RTD("gartle.rtd",,"rtd-mysql","fundamentals_day_history_yahoo",FundamentalsDayHistoryYahoo_Table1[Symbol],FundamentalsDayHistoryYahoo_Table1[Date],"Change")</f>
        <v>-0.28999999999999998</v>
      </c>
      <c r="H8" s="10">
        <f>RTD("gartle.rtd",,"rtd-mysql","fundamentals_day_history_yahoo",FundamentalsDayHistoryYahoo_Table1[Symbol],FundamentalsDayHistoryYahoo_Table1[Date],"PercentChange")</f>
        <v>-7.6E-3</v>
      </c>
      <c r="I8" s="8">
        <f>RTD("gartle.rtd",,"rtd-mysql","fundamentals_day_history_yahoo",FundamentalsDayHistoryYahoo_Table1[Symbol],FundamentalsDayHistoryYahoo_Table1[Date],"Open")</f>
        <v>37.659999999999997</v>
      </c>
      <c r="J8" s="8">
        <f>RTD("gartle.rtd",,"rtd-mysql","fundamentals_day_history_yahoo",FundamentalsDayHistoryYahoo_Table1[Symbol],FundamentalsDayHistoryYahoo_Table1[Date],"High")</f>
        <v>37.975000000000001</v>
      </c>
      <c r="K8" s="8">
        <f>RTD("gartle.rtd",,"rtd-mysql","fundamentals_day_history_yahoo",FundamentalsDayHistoryYahoo_Table1[Symbol],FundamentalsDayHistoryYahoo_Table1[Date],"Low")</f>
        <v>37.54</v>
      </c>
      <c r="L8" s="11">
        <f>RTD("gartle.rtd",,"rtd-mysql","fundamentals_day_history_yahoo",FundamentalsDayHistoryYahoo_Table1[Symbol],FundamentalsDayHistoryYahoo_Table1[Date],"Volume")</f>
        <v>31322364</v>
      </c>
      <c r="M8" t="str">
        <f>RTD("gartle.rtd",,"rtd-mysql","fundamentals_day_history_yahoo",FundamentalsDayHistoryYahoo_Table1[Symbol],FundamentalsDayHistoryYahoo_Table1[Date],"DaysRange")</f>
        <v>37.54 - 37.975</v>
      </c>
      <c r="N8" s="8">
        <f>RTD("gartle.rtd",,"rtd-mysql","fundamentals_day_history_yahoo",FundamentalsDayHistoryYahoo_Table1[Symbol],FundamentalsDayHistoryYahoo_Table1[Date],"PrevClose")</f>
        <v>37.979999999999997</v>
      </c>
      <c r="O8">
        <f>RTD("gartle.rtd",,"rtd-mysql","fundamentals_day_history_yahoo",FundamentalsDayHistoryYahoo_Table1[Symbol],FundamentalsDayHistoryYahoo_Table1[Date],"ShortRatio")</f>
        <v>1.7</v>
      </c>
      <c r="P8" s="8">
        <f>RTD("gartle.rtd",,"rtd-mysql","fundamentals_day_history_yahoo",FundamentalsDayHistoryYahoo_Table1[Symbol],FundamentalsDayHistoryYahoo_Table1[Date],"YearHigh")</f>
        <v>38.979999999999997</v>
      </c>
      <c r="Q8" s="8">
        <f>RTD("gartle.rtd",,"rtd-mysql","fundamentals_day_history_yahoo",FundamentalsDayHistoryYahoo_Table1[Symbol],FundamentalsDayHistoryYahoo_Table1[Date],"YearLow")</f>
        <v>27.33</v>
      </c>
      <c r="R8" t="str">
        <f>RTD("gartle.rtd",,"rtd-mysql","fundamentals_day_history_yahoo",FundamentalsDayHistoryYahoo_Table1[Symbol],FundamentalsDayHistoryYahoo_Table1[Date],"YearRange")</f>
        <v>27.33 - 38.98</v>
      </c>
      <c r="S8" s="12">
        <f>RTD("gartle.rtd",,"rtd-mysql","fundamentals_day_history_yahoo",FundamentalsDayHistoryYahoo_Table1[Symbol],FundamentalsDayHistoryYahoo_Table1[Date],"ChangeFromYearHigh")</f>
        <v>-1.29</v>
      </c>
      <c r="T8" s="12">
        <f>RTD("gartle.rtd",,"rtd-mysql","fundamentals_day_history_yahoo",FundamentalsDayHistoryYahoo_Table1[Symbol],FundamentalsDayHistoryYahoo_Table1[Date],"ChangeFromYearLow")</f>
        <v>10.36</v>
      </c>
      <c r="U8" s="10">
        <f>RTD("gartle.rtd",,"rtd-mysql","fundamentals_day_history_yahoo",FundamentalsDayHistoryYahoo_Table1[Symbol],FundamentalsDayHistoryYahoo_Table1[Date],"PercentChangeFromYearHigh")</f>
        <v>-3.3099999999999997E-2</v>
      </c>
      <c r="V8" s="10">
        <f>RTD("gartle.rtd",,"rtd-mysql","fundamentals_day_history_yahoo",FundamentalsDayHistoryYahoo_Table1[Symbol],FundamentalsDayHistoryYahoo_Table1[Date],"PercentChangeFromYearLow")</f>
        <v>0.37909999999999999</v>
      </c>
      <c r="W8" s="8">
        <f>RTD("gartle.rtd",,"rtd-mysql","fundamentals_day_history_yahoo",FundamentalsDayHistoryYahoo_Table1[Symbol],FundamentalsDayHistoryYahoo_Table1[Date],"MA50")</f>
        <v>36.615299999999998</v>
      </c>
      <c r="X8" s="8">
        <f>RTD("gartle.rtd",,"rtd-mysql","fundamentals_day_history_yahoo",FundamentalsDayHistoryYahoo_Table1[Symbol],FundamentalsDayHistoryYahoo_Table1[Date],"MA200")</f>
        <v>35.337499999999999</v>
      </c>
      <c r="Y8" s="12">
        <f>RTD("gartle.rtd",,"rtd-mysql","fundamentals_day_history_yahoo",FundamentalsDayHistoryYahoo_Table1[Symbol],FundamentalsDayHistoryYahoo_Table1[Date],"ChangeFromMA50")</f>
        <v>1.0747</v>
      </c>
      <c r="Z8" s="12">
        <f>RTD("gartle.rtd",,"rtd-mysql","fundamentals_day_history_yahoo",FundamentalsDayHistoryYahoo_Table1[Symbol],FundamentalsDayHistoryYahoo_Table1[Date],"ChangeFromMA200")</f>
        <v>2.3525</v>
      </c>
      <c r="AA8" s="10">
        <f>RTD("gartle.rtd",,"rtd-mysql","fundamentals_day_history_yahoo",FundamentalsDayHistoryYahoo_Table1[Symbol],FundamentalsDayHistoryYahoo_Table1[Date],"PercentChangeFromMA50")</f>
        <v>2.9399999999999999E-2</v>
      </c>
      <c r="AB8" s="10">
        <f>RTD("gartle.rtd",,"rtd-mysql","fundamentals_day_history_yahoo",FundamentalsDayHistoryYahoo_Table1[Symbol],FundamentalsDayHistoryYahoo_Table1[Date],"PercentChangeFromMA200")</f>
        <v>6.6600000000000006E-2</v>
      </c>
      <c r="AC8" s="11">
        <f>RTD("gartle.rtd",,"rtd-mysql","fundamentals_day_history_yahoo",FundamentalsDayHistoryYahoo_Table1[Symbol],FundamentalsDayHistoryYahoo_Table1[Date],"AverageDailyVolume")</f>
        <v>39742500</v>
      </c>
      <c r="AD8" s="8">
        <f>RTD("gartle.rtd",,"rtd-mysql","fundamentals_day_history_yahoo",FundamentalsDayHistoryYahoo_Table1[Symbol],FundamentalsDayHistoryYahoo_Table1[Date],"OneYearTargetPrice")</f>
        <v>38.42</v>
      </c>
      <c r="AE8">
        <f>RTD("gartle.rtd",,"rtd-mysql","fundamentals_day_history_yahoo",FundamentalsDayHistoryYahoo_Table1[Symbol],FundamentalsDayHistoryYahoo_Table1[Date],"PE")</f>
        <v>14.07</v>
      </c>
      <c r="AF8">
        <f>RTD("gartle.rtd",,"rtd-mysql","fundamentals_day_history_yahoo",FundamentalsDayHistoryYahoo_Table1[Symbol],FundamentalsDayHistoryYahoo_Table1[Date],"PEG")</f>
        <v>1.88</v>
      </c>
      <c r="AG8">
        <f>RTD("gartle.rtd",,"rtd-mysql","fundamentals_day_history_yahoo",FundamentalsDayHistoryYahoo_Table1[Symbol],FundamentalsDayHistoryYahoo_Table1[Date],"EPSEstCurrentYear")</f>
        <v>2.71</v>
      </c>
      <c r="AH8">
        <f>RTD("gartle.rtd",,"rtd-mysql","fundamentals_day_history_yahoo",FundamentalsDayHistoryYahoo_Table1[Symbol],FundamentalsDayHistoryYahoo_Table1[Date],"EPSEstNextQuarter")</f>
        <v>0.67</v>
      </c>
      <c r="AI8">
        <f>RTD("gartle.rtd",,"rtd-mysql","fundamentals_day_history_yahoo",FundamentalsDayHistoryYahoo_Table1[Symbol],FundamentalsDayHistoryYahoo_Table1[Date],"EPSEstNextYear")</f>
        <v>2.91</v>
      </c>
      <c r="AJ8">
        <f>RTD("gartle.rtd",,"rtd-mysql","fundamentals_day_history_yahoo",FundamentalsDayHistoryYahoo_Table1[Symbol],FundamentalsDayHistoryYahoo_Table1[Date],"EarningsShare")</f>
        <v>2.7</v>
      </c>
      <c r="AK8" t="str">
        <f>RTD("gartle.rtd",,"rtd-mysql","fundamentals_day_history_yahoo",FundamentalsDayHistoryYahoo_Table1[Symbol],FundamentalsDayHistoryYahoo_Table1[Date],"MarketCap")</f>
        <v>312.9B</v>
      </c>
      <c r="AL8">
        <f>RTD("gartle.rtd",,"rtd-mysql","fundamentals_day_history_yahoo",FundamentalsDayHistoryYahoo_Table1[Symbol],FundamentalsDayHistoryYahoo_Table1[Date],"DividendYield")</f>
        <v>2.69</v>
      </c>
      <c r="AM8">
        <f>RTD("gartle.rtd",,"rtd-mysql","fundamentals_day_history_yahoo",FundamentalsDayHistoryYahoo_Table1[Symbol],FundamentalsDayHistoryYahoo_Table1[Date],"DividendShare")</f>
        <v>1.02</v>
      </c>
      <c r="AN8" t="str">
        <f>RTD("gartle.rtd",,"rtd-mysql","fundamentals_day_history_yahoo",FundamentalsDayHistoryYahoo_Table1[Symbol],FundamentalsDayHistoryYahoo_Table1[Date],"ExDividendDate")</f>
        <v>Feb 18</v>
      </c>
      <c r="AO8" t="str">
        <f>RTD("gartle.rtd",,"rtd-mysql","fundamentals_day_history_yahoo",FundamentalsDayHistoryYahoo_Table1[Symbol],FundamentalsDayHistoryYahoo_Table1[Date],"DividendPayDate")</f>
        <v>Mar 13</v>
      </c>
      <c r="AP8">
        <f>RTD("gartle.rtd",,"rtd-mysql","fundamentals_day_history_yahoo",FundamentalsDayHistoryYahoo_Table1[Symbol],FundamentalsDayHistoryYahoo_Table1[Date],"BookValue")</f>
        <v>10.253</v>
      </c>
      <c r="AQ8">
        <f>RTD("gartle.rtd",,"rtd-mysql","fundamentals_day_history_yahoo",FundamentalsDayHistoryYahoo_Table1[Symbol],FundamentalsDayHistoryYahoo_Table1[Date],"PriceBook")</f>
        <v>3.7</v>
      </c>
      <c r="AR8">
        <f>RTD("gartle.rtd",,"rtd-mysql","fundamentals_day_history_yahoo",FundamentalsDayHistoryYahoo_Table1[Symbol],FundamentalsDayHistoryYahoo_Table1[Date],"PriceSales")</f>
        <v>3.78</v>
      </c>
      <c r="AS8">
        <f>RTD("gartle.rtd",,"rtd-mysql","fundamentals_day_history_yahoo",FundamentalsDayHistoryYahoo_Table1[Symbol],FundamentalsDayHistoryYahoo_Table1[Date],"PriceEPSEstCurrentYear")</f>
        <v>14.01</v>
      </c>
      <c r="AT8">
        <f>RTD("gartle.rtd",,"rtd-mysql","fundamentals_day_history_yahoo",FundamentalsDayHistoryYahoo_Table1[Symbol],FundamentalsDayHistoryYahoo_Table1[Date],"PriceEPSEstNextYear")</f>
        <v>13.05</v>
      </c>
      <c r="AU8" t="str">
        <f>RTD("gartle.rtd",,"rtd-mysql","fundamentals_day_history_yahoo",FundamentalsDayHistoryYahoo_Table1[Symbol],FundamentalsDayHistoryYahoo_Table1[Date],"EBITDA")</f>
        <v>31.828B</v>
      </c>
      <c r="AV8" t="str">
        <f>RTD("gartle.rtd",,"rtd-mysql","fundamentals_day_history_yahoo",FundamentalsDayHistoryYahoo_Table1[Symbol],FundamentalsDayHistoryYahoo_Table1[Date],"CompanyName")</f>
        <v>Microsoft Corpora</v>
      </c>
      <c r="AW8" t="str">
        <f>RTD("gartle.rtd",,"rtd-mysql","fundamentals_day_history_yahoo",FundamentalsDayHistoryYahoo_Table1[Symbol],FundamentalsDayHistoryYahoo_Table1[Date],"StockExchange")</f>
        <v>NasdaqNM</v>
      </c>
      <c r="AX8" t="e">
        <f>RTD("gartle.rtd",,"rtd-mysql","fundamentals_day_history_yahoo",FundamentalsDayHistoryYahoo_Table1[Symbol],FundamentalsDayHistoryYahoo_Table1[Date],"Commission")</f>
        <v>#N/A</v>
      </c>
      <c r="AY8" t="e">
        <f>RTD("gartle.rtd",,"rtd-mysql","fundamentals_day_history_yahoo",FundamentalsDayHistoryYahoo_Table1[Symbol],FundamentalsDayHistoryYahoo_Table1[Date],"Notes")</f>
        <v>#N/A</v>
      </c>
      <c r="AZ8" s="7">
        <f>RTD("gartle.rtd",,"rtd-mysql","fundamentals_day_history_yahoo",FundamentalsDayHistoryYahoo_Table1[Symbol],FundamentalsDayHistoryYahoo_Table1[Date],"LastUpdateTimeStamp")</f>
        <v>41695.187141203707</v>
      </c>
      <c r="BA8" t="str">
        <f>RTD("gartle.rtd",,"rtd-mysql","fundamentals_day_history_yahoo",FundamentalsDayHistoryYahoo_Table1[Symbol],FundamentalsDayHistoryYahoo_Table1[Date],"RTD_LastMessage")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161</v>
      </c>
      <c r="D9" s="5">
        <v>41694</v>
      </c>
      <c r="E9" s="7">
        <f>RTD("gartle.rtd",,"rtd-mysql","fundamentals_day_history_yahoo",FundamentalsDayHistoryYahoo_Table1[Symbol],FundamentalsDayHistoryYahoo_Table1[Date],"LastTradeTime")</f>
        <v>0.66736111111111107</v>
      </c>
      <c r="F9" s="8">
        <f>RTD("gartle.rtd",,"rtd-mysql","fundamentals_day_history_yahoo",FundamentalsDayHistoryYahoo_Table1[Symbol],FundamentalsDayHistoryYahoo_Table1[Date],"Last")</f>
        <v>38.14</v>
      </c>
      <c r="G9" s="9">
        <f>RTD("gartle.rtd",,"rtd-mysql","fundamentals_day_history_yahoo",FundamentalsDayHistoryYahoo_Table1[Symbol],FundamentalsDayHistoryYahoo_Table1[Date],"Change")</f>
        <v>0.04</v>
      </c>
      <c r="H9" s="10">
        <f>RTD("gartle.rtd",,"rtd-mysql","fundamentals_day_history_yahoo",FundamentalsDayHistoryYahoo_Table1[Symbol],FundamentalsDayHistoryYahoo_Table1[Date],"PercentChange")</f>
        <v>1E-3</v>
      </c>
      <c r="I9" s="8">
        <f>RTD("gartle.rtd",,"rtd-mysql","fundamentals_day_history_yahoo",FundamentalsDayHistoryYahoo_Table1[Symbol],FundamentalsDayHistoryYahoo_Table1[Date],"Open")</f>
        <v>38.159999999999997</v>
      </c>
      <c r="J9" s="8">
        <f>RTD("gartle.rtd",,"rtd-mysql","fundamentals_day_history_yahoo",FundamentalsDayHistoryYahoo_Table1[Symbol],FundamentalsDayHistoryYahoo_Table1[Date],"High")</f>
        <v>38.454999999999998</v>
      </c>
      <c r="K9" s="8">
        <f>RTD("gartle.rtd",,"rtd-mysql","fundamentals_day_history_yahoo",FundamentalsDayHistoryYahoo_Table1[Symbol],FundamentalsDayHistoryYahoo_Table1[Date],"Low")</f>
        <v>38.049999999999997</v>
      </c>
      <c r="L9" s="11">
        <f>RTD("gartle.rtd",,"rtd-mysql","fundamentals_day_history_yahoo",FundamentalsDayHistoryYahoo_Table1[Symbol],FundamentalsDayHistoryYahoo_Table1[Date],"Volume")</f>
        <v>10292762</v>
      </c>
      <c r="M9" t="str">
        <f>RTD("gartle.rtd",,"rtd-mysql","fundamentals_day_history_yahoo",FundamentalsDayHistoryYahoo_Table1[Symbol],FundamentalsDayHistoryYahoo_Table1[Date],"DaysRange")</f>
        <v>38.05 - 38.455</v>
      </c>
      <c r="N9" s="8">
        <f>RTD("gartle.rtd",,"rtd-mysql","fundamentals_day_history_yahoo",FundamentalsDayHistoryYahoo_Table1[Symbol],FundamentalsDayHistoryYahoo_Table1[Date],"PrevClose")</f>
        <v>38.1</v>
      </c>
      <c r="O9">
        <f>RTD("gartle.rtd",,"rtd-mysql","fundamentals_day_history_yahoo",FundamentalsDayHistoryYahoo_Table1[Symbol],FundamentalsDayHistoryYahoo_Table1[Date],"ShortRatio")</f>
        <v>2.5</v>
      </c>
      <c r="P9" s="8">
        <f>RTD("gartle.rtd",,"rtd-mysql","fundamentals_day_history_yahoo",FundamentalsDayHistoryYahoo_Table1[Symbol],FundamentalsDayHistoryYahoo_Table1[Date],"YearHigh")</f>
        <v>38.770000000000003</v>
      </c>
      <c r="Q9" s="8">
        <f>RTD("gartle.rtd",,"rtd-mysql","fundamentals_day_history_yahoo",FundamentalsDayHistoryYahoo_Table1[Symbol],FundamentalsDayHistoryYahoo_Table1[Date],"YearLow")</f>
        <v>29.86</v>
      </c>
      <c r="R9" t="str">
        <f>RTD("gartle.rtd",,"rtd-mysql","fundamentals_day_history_yahoo",FundamentalsDayHistoryYahoo_Table1[Symbol],FundamentalsDayHistoryYahoo_Table1[Date],"YearRange")</f>
        <v>29.86 - 38.77</v>
      </c>
      <c r="S9" s="12">
        <f>RTD("gartle.rtd",,"rtd-mysql","fundamentals_day_history_yahoo",FundamentalsDayHistoryYahoo_Table1[Symbol],FundamentalsDayHistoryYahoo_Table1[Date],"ChangeFromYearHigh")</f>
        <v>-0.63</v>
      </c>
      <c r="T9" s="12">
        <f>RTD("gartle.rtd",,"rtd-mysql","fundamentals_day_history_yahoo",FundamentalsDayHistoryYahoo_Table1[Symbol],FundamentalsDayHistoryYahoo_Table1[Date],"ChangeFromYearLow")</f>
        <v>8.2799999999999994</v>
      </c>
      <c r="U9" s="10">
        <f>RTD("gartle.rtd",,"rtd-mysql","fundamentals_day_history_yahoo",FundamentalsDayHistoryYahoo_Table1[Symbol],FundamentalsDayHistoryYahoo_Table1[Date],"PercentChangeFromYearHigh")</f>
        <v>-1.6199999999999999E-2</v>
      </c>
      <c r="V9" s="10">
        <f>RTD("gartle.rtd",,"rtd-mysql","fundamentals_day_history_yahoo",FundamentalsDayHistoryYahoo_Table1[Symbol],FundamentalsDayHistoryYahoo_Table1[Date],"PercentChangeFromYearLow")</f>
        <v>0.27729999999999999</v>
      </c>
      <c r="W9" s="8">
        <f>RTD("gartle.rtd",,"rtd-mysql","fundamentals_day_history_yahoo",FundamentalsDayHistoryYahoo_Table1[Symbol],FundamentalsDayHistoryYahoo_Table1[Date],"MA50")</f>
        <v>37.558199999999999</v>
      </c>
      <c r="X9" s="8">
        <f>RTD("gartle.rtd",,"rtd-mysql","fundamentals_day_history_yahoo",FundamentalsDayHistoryYahoo_Table1[Symbol],FundamentalsDayHistoryYahoo_Table1[Date],"MA200")</f>
        <v>34.745100000000001</v>
      </c>
      <c r="Y9" s="12">
        <f>RTD("gartle.rtd",,"rtd-mysql","fundamentals_day_history_yahoo",FundamentalsDayHistoryYahoo_Table1[Symbol],FundamentalsDayHistoryYahoo_Table1[Date],"ChangeFromMA50")</f>
        <v>0.58179999999999998</v>
      </c>
      <c r="Z9" s="12">
        <f>RTD("gartle.rtd",,"rtd-mysql","fundamentals_day_history_yahoo",FundamentalsDayHistoryYahoo_Table1[Symbol],FundamentalsDayHistoryYahoo_Table1[Date],"ChangeFromMA200")</f>
        <v>3.3948999999999998</v>
      </c>
      <c r="AA9" s="10">
        <f>RTD("gartle.rtd",,"rtd-mysql","fundamentals_day_history_yahoo",FundamentalsDayHistoryYahoo_Table1[Symbol],FundamentalsDayHistoryYahoo_Table1[Date],"PercentChangeFromMA50")</f>
        <v>1.55E-2</v>
      </c>
      <c r="AB9" s="10">
        <f>RTD("gartle.rtd",,"rtd-mysql","fundamentals_day_history_yahoo",FundamentalsDayHistoryYahoo_Table1[Symbol],FundamentalsDayHistoryYahoo_Table1[Date],"PercentChangeFromMA200")</f>
        <v>9.7699999999999995E-2</v>
      </c>
      <c r="AC9" s="11">
        <f>RTD("gartle.rtd",,"rtd-mysql","fundamentals_day_history_yahoo",FundamentalsDayHistoryYahoo_Table1[Symbol],FundamentalsDayHistoryYahoo_Table1[Date],"AverageDailyVolume")</f>
        <v>17627200</v>
      </c>
      <c r="AD9" s="8">
        <f>RTD("gartle.rtd",,"rtd-mysql","fundamentals_day_history_yahoo",FundamentalsDayHistoryYahoo_Table1[Symbol],FundamentalsDayHistoryYahoo_Table1[Date],"OneYearTargetPrice")</f>
        <v>38.92</v>
      </c>
      <c r="AE9">
        <f>RTD("gartle.rtd",,"rtd-mysql","fundamentals_day_history_yahoo",FundamentalsDayHistoryYahoo_Table1[Symbol],FundamentalsDayHistoryYahoo_Table1[Date],"PE")</f>
        <v>16.21</v>
      </c>
      <c r="AF9">
        <f>RTD("gartle.rtd",,"rtd-mysql","fundamentals_day_history_yahoo",FundamentalsDayHistoryYahoo_Table1[Symbol],FundamentalsDayHistoryYahoo_Table1[Date],"PEG")</f>
        <v>1.24</v>
      </c>
      <c r="AG9">
        <f>RTD("gartle.rtd",,"rtd-mysql","fundamentals_day_history_yahoo",FundamentalsDayHistoryYahoo_Table1[Symbol],FundamentalsDayHistoryYahoo_Table1[Date],"EPSEstCurrentYear")</f>
        <v>2.92</v>
      </c>
      <c r="AH9">
        <f>RTD("gartle.rtd",,"rtd-mysql","fundamentals_day_history_yahoo",FundamentalsDayHistoryYahoo_Table1[Symbol],FundamentalsDayHistoryYahoo_Table1[Date],"EPSEstNextQuarter")</f>
        <v>0.96</v>
      </c>
      <c r="AI9">
        <f>RTD("gartle.rtd",,"rtd-mysql","fundamentals_day_history_yahoo",FundamentalsDayHistoryYahoo_Table1[Symbol],FundamentalsDayHistoryYahoo_Table1[Date],"EPSEstNextYear")</f>
        <v>3.19</v>
      </c>
      <c r="AJ9">
        <f>RTD("gartle.rtd",,"rtd-mysql","fundamentals_day_history_yahoo",FundamentalsDayHistoryYahoo_Table1[Symbol],FundamentalsDayHistoryYahoo_Table1[Date],"EarningsShare")</f>
        <v>2.35</v>
      </c>
      <c r="AK9" t="str">
        <f>RTD("gartle.rtd",,"rtd-mysql","fundamentals_day_history_yahoo",FundamentalsDayHistoryYahoo_Table1[Symbol],FundamentalsDayHistoryYahoo_Table1[Date],"MarketCap")</f>
        <v>171.5B</v>
      </c>
      <c r="AL9">
        <f>RTD("gartle.rtd",,"rtd-mysql","fundamentals_day_history_yahoo",FundamentalsDayHistoryYahoo_Table1[Symbol],FundamentalsDayHistoryYahoo_Table1[Date],"DividendYield")</f>
        <v>0.94</v>
      </c>
      <c r="AM9">
        <f>RTD("gartle.rtd",,"rtd-mysql","fundamentals_day_history_yahoo",FundamentalsDayHistoryYahoo_Table1[Symbol],FundamentalsDayHistoryYahoo_Table1[Date],"DividendShare")</f>
        <v>0.36</v>
      </c>
      <c r="AN9" t="str">
        <f>RTD("gartle.rtd",,"rtd-mysql","fundamentals_day_history_yahoo",FundamentalsDayHistoryYahoo_Table1[Symbol],FundamentalsDayHistoryYahoo_Table1[Date],"ExDividendDate")</f>
        <v>Jan  3</v>
      </c>
      <c r="AO9" t="str">
        <f>RTD("gartle.rtd",,"rtd-mysql","fundamentals_day_history_yahoo",FundamentalsDayHistoryYahoo_Table1[Symbol],FundamentalsDayHistoryYahoo_Table1[Date],"DividendPayDate")</f>
        <v>Jan 28</v>
      </c>
      <c r="AP9">
        <f>RTD("gartle.rtd",,"rtd-mysql","fundamentals_day_history_yahoo",FundamentalsDayHistoryYahoo_Table1[Symbol],FundamentalsDayHistoryYahoo_Table1[Date],"BookValue")</f>
        <v>9.6679999999999993</v>
      </c>
      <c r="AQ9">
        <f>RTD("gartle.rtd",,"rtd-mysql","fundamentals_day_history_yahoo",FundamentalsDayHistoryYahoo_Table1[Symbol],FundamentalsDayHistoryYahoo_Table1[Date],"PriceBook")</f>
        <v>3.94</v>
      </c>
      <c r="AR9">
        <f>RTD("gartle.rtd",,"rtd-mysql","fundamentals_day_history_yahoo",FundamentalsDayHistoryYahoo_Table1[Symbol],FundamentalsDayHistoryYahoo_Table1[Date],"PriceSales")</f>
        <v>4.5599999999999996</v>
      </c>
      <c r="AS9">
        <f>RTD("gartle.rtd",,"rtd-mysql","fundamentals_day_history_yahoo",FundamentalsDayHistoryYahoo_Table1[Symbol],FundamentalsDayHistoryYahoo_Table1[Date],"PriceEPSEstCurrentYear")</f>
        <v>13.05</v>
      </c>
      <c r="AT9">
        <f>RTD("gartle.rtd",,"rtd-mysql","fundamentals_day_history_yahoo",FundamentalsDayHistoryYahoo_Table1[Symbol],FundamentalsDayHistoryYahoo_Table1[Date],"PriceEPSEstNextYear")</f>
        <v>11.94</v>
      </c>
      <c r="AU9" t="str">
        <f>RTD("gartle.rtd",,"rtd-mysql","fundamentals_day_history_yahoo",FundamentalsDayHistoryYahoo_Table1[Symbol],FundamentalsDayHistoryYahoo_Table1[Date],"EBITDA")</f>
        <v>16.289B</v>
      </c>
      <c r="AV9" t="str">
        <f>RTD("gartle.rtd",,"rtd-mysql","fundamentals_day_history_yahoo",FundamentalsDayHistoryYahoo_Table1[Symbol],FundamentalsDayHistoryYahoo_Table1[Date],"CompanyName")</f>
        <v>Oracle Corporatio</v>
      </c>
      <c r="AW9" t="str">
        <f>RTD("gartle.rtd",,"rtd-mysql","fundamentals_day_history_yahoo",FundamentalsDayHistoryYahoo_Table1[Symbol],FundamentalsDayHistoryYahoo_Table1[Date],"StockExchange")</f>
        <v>NYSE</v>
      </c>
      <c r="AX9" t="e">
        <f>RTD("gartle.rtd",,"rtd-mysql","fundamentals_day_history_yahoo",FundamentalsDayHistoryYahoo_Table1[Symbol],FundamentalsDayHistoryYahoo_Table1[Date],"Commission")</f>
        <v>#N/A</v>
      </c>
      <c r="AY9" t="e">
        <f>RTD("gartle.rtd",,"rtd-mysql","fundamentals_day_history_yahoo",FundamentalsDayHistoryYahoo_Table1[Symbol],FundamentalsDayHistoryYahoo_Table1[Date],"Notes")</f>
        <v>#N/A</v>
      </c>
      <c r="AZ9" s="7">
        <f>RTD("gartle.rtd",,"rtd-mysql","fundamentals_day_history_yahoo",FundamentalsDayHistoryYahoo_Table1[Symbol],FundamentalsDayHistoryYahoo_Table1[Date],"LastUpdateTimeStamp")</f>
        <v>41695.187141203707</v>
      </c>
      <c r="BA9" t="str">
        <f>RTD("gartle.rtd",,"rtd-mysql","fundamentals_day_history_yahoo",FundamentalsDayHistoryYahoo_Table1[Symbol],FundamentalsDayHistoryYahoo_Table1[Date],"RTD_LastMessage")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163</v>
      </c>
      <c r="D10" s="5">
        <v>41694</v>
      </c>
      <c r="E10" s="7">
        <f>RTD("gartle.rtd",,"rtd-mysql","fundamentals_day_history_yahoo",FundamentalsDayHistoryYahoo_Table1[Symbol],FundamentalsDayHistoryYahoo_Table1[Date],"LastTradeTime")</f>
        <v>0.66666666666666663</v>
      </c>
      <c r="F10" s="8">
        <f>RTD("gartle.rtd",,"rtd-mysql","fundamentals_day_history_yahoo",FundamentalsDayHistoryYahoo_Table1[Symbol],FundamentalsDayHistoryYahoo_Table1[Date],"Last")</f>
        <v>37.42</v>
      </c>
      <c r="G10" s="9">
        <f>RTD("gartle.rtd",,"rtd-mysql","fundamentals_day_history_yahoo",FundamentalsDayHistoryYahoo_Table1[Symbol],FundamentalsDayHistoryYahoo_Table1[Date],"Change")</f>
        <v>0.13</v>
      </c>
      <c r="H10" s="10">
        <f>RTD("gartle.rtd",,"rtd-mysql","fundamentals_day_history_yahoo",FundamentalsDayHistoryYahoo_Table1[Symbol],FundamentalsDayHistoryYahoo_Table1[Date],"PercentChange")</f>
        <v>3.5000000000000001E-3</v>
      </c>
      <c r="I10" s="8">
        <f>RTD("gartle.rtd",,"rtd-mysql","fundamentals_day_history_yahoo",FundamentalsDayHistoryYahoo_Table1[Symbol],FundamentalsDayHistoryYahoo_Table1[Date],"Open")</f>
        <v>37.119999999999997</v>
      </c>
      <c r="J10" s="8">
        <f>RTD("gartle.rtd",,"rtd-mysql","fundamentals_day_history_yahoo",FundamentalsDayHistoryYahoo_Table1[Symbol],FundamentalsDayHistoryYahoo_Table1[Date],"High")</f>
        <v>37.71</v>
      </c>
      <c r="K10" s="8">
        <f>RTD("gartle.rtd",,"rtd-mysql","fundamentals_day_history_yahoo",FundamentalsDayHistoryYahoo_Table1[Symbol],FundamentalsDayHistoryYahoo_Table1[Date],"Low")</f>
        <v>36.82</v>
      </c>
      <c r="L10" s="11">
        <f>RTD("gartle.rtd",,"rtd-mysql","fundamentals_day_history_yahoo",FundamentalsDayHistoryYahoo_Table1[Symbol],FundamentalsDayHistoryYahoo_Table1[Date],"Volume")</f>
        <v>15676729</v>
      </c>
      <c r="M10" t="str">
        <f>RTD("gartle.rtd",,"rtd-mysql","fundamentals_day_history_yahoo",FundamentalsDayHistoryYahoo_Table1[Symbol],FundamentalsDayHistoryYahoo_Table1[Date],"DaysRange")</f>
        <v>36.82 - 37.71</v>
      </c>
      <c r="N10" s="8">
        <f>RTD("gartle.rtd",,"rtd-mysql","fundamentals_day_history_yahoo",FundamentalsDayHistoryYahoo_Table1[Symbol],FundamentalsDayHistoryYahoo_Table1[Date],"PrevClose")</f>
        <v>37.29</v>
      </c>
      <c r="O10">
        <f>RTD("gartle.rtd",,"rtd-mysql","fundamentals_day_history_yahoo",FundamentalsDayHistoryYahoo_Table1[Symbol],FundamentalsDayHistoryYahoo_Table1[Date],"ShortRatio")</f>
        <v>1.1000000000000001</v>
      </c>
      <c r="P10" s="8">
        <f>RTD("gartle.rtd",,"rtd-mysql","fundamentals_day_history_yahoo",FundamentalsDayHistoryYahoo_Table1[Symbol],FundamentalsDayHistoryYahoo_Table1[Date],"YearHigh")</f>
        <v>41.72</v>
      </c>
      <c r="Q10" s="8">
        <f>RTD("gartle.rtd",,"rtd-mysql","fundamentals_day_history_yahoo",FundamentalsDayHistoryYahoo_Table1[Symbol],FundamentalsDayHistoryYahoo_Table1[Date],"YearLow")</f>
        <v>20.58</v>
      </c>
      <c r="R10" t="str">
        <f>RTD("gartle.rtd",,"rtd-mysql","fundamentals_day_history_yahoo",FundamentalsDayHistoryYahoo_Table1[Symbol],FundamentalsDayHistoryYahoo_Table1[Date],"YearRange")</f>
        <v>20.58 - 41.72</v>
      </c>
      <c r="S10" s="12">
        <f>RTD("gartle.rtd",,"rtd-mysql","fundamentals_day_history_yahoo",FundamentalsDayHistoryYahoo_Table1[Symbol],FundamentalsDayHistoryYahoo_Table1[Date],"ChangeFromYearHigh")</f>
        <v>-4.3</v>
      </c>
      <c r="T10" s="12">
        <f>RTD("gartle.rtd",,"rtd-mysql","fundamentals_day_history_yahoo",FundamentalsDayHistoryYahoo_Table1[Symbol],FundamentalsDayHistoryYahoo_Table1[Date],"ChangeFromYearLow")</f>
        <v>16.84</v>
      </c>
      <c r="U10" s="10">
        <f>RTD("gartle.rtd",,"rtd-mysql","fundamentals_day_history_yahoo",FundamentalsDayHistoryYahoo_Table1[Symbol],FundamentalsDayHistoryYahoo_Table1[Date],"PercentChangeFromYearHigh")</f>
        <v>-0.1031</v>
      </c>
      <c r="V10" s="10">
        <f>RTD("gartle.rtd",,"rtd-mysql","fundamentals_day_history_yahoo",FundamentalsDayHistoryYahoo_Table1[Symbol],FundamentalsDayHistoryYahoo_Table1[Date],"PercentChangeFromYearLow")</f>
        <v>0.81830000000000003</v>
      </c>
      <c r="W10" s="8">
        <f>RTD("gartle.rtd",,"rtd-mysql","fundamentals_day_history_yahoo",FundamentalsDayHistoryYahoo_Table1[Symbol],FundamentalsDayHistoryYahoo_Table1[Date],"MA50")</f>
        <v>38.429699999999997</v>
      </c>
      <c r="X10" s="8">
        <f>RTD("gartle.rtd",,"rtd-mysql","fundamentals_day_history_yahoo",FundamentalsDayHistoryYahoo_Table1[Symbol],FundamentalsDayHistoryYahoo_Table1[Date],"MA200")</f>
        <v>34.547699999999999</v>
      </c>
      <c r="Y10" s="12">
        <f>RTD("gartle.rtd",,"rtd-mysql","fundamentals_day_history_yahoo",FundamentalsDayHistoryYahoo_Table1[Symbol],FundamentalsDayHistoryYahoo_Table1[Date],"ChangeFromMA50")</f>
        <v>-1.0097</v>
      </c>
      <c r="Z10" s="12">
        <f>RTD("gartle.rtd",,"rtd-mysql","fundamentals_day_history_yahoo",FundamentalsDayHistoryYahoo_Table1[Symbol],FundamentalsDayHistoryYahoo_Table1[Date],"ChangeFromMA200")</f>
        <v>2.8723000000000001</v>
      </c>
      <c r="AA10" s="10">
        <f>RTD("gartle.rtd",,"rtd-mysql","fundamentals_day_history_yahoo",FundamentalsDayHistoryYahoo_Table1[Symbol],FundamentalsDayHistoryYahoo_Table1[Date],"PercentChangeFromMA50")</f>
        <v>-2.63E-2</v>
      </c>
      <c r="AB10" s="10">
        <f>RTD("gartle.rtd",,"rtd-mysql","fundamentals_day_history_yahoo",FundamentalsDayHistoryYahoo_Table1[Symbol],FundamentalsDayHistoryYahoo_Table1[Date],"PercentChangeFromMA200")</f>
        <v>8.3099999999999993E-2</v>
      </c>
      <c r="AC10" s="11">
        <f>RTD("gartle.rtd",,"rtd-mysql","fundamentals_day_history_yahoo",FundamentalsDayHistoryYahoo_Table1[Symbol],FundamentalsDayHistoryYahoo_Table1[Date],"AverageDailyVolume")</f>
        <v>16849600</v>
      </c>
      <c r="AD10" s="8">
        <f>RTD("gartle.rtd",,"rtd-mysql","fundamentals_day_history_yahoo",FundamentalsDayHistoryYahoo_Table1[Symbol],FundamentalsDayHistoryYahoo_Table1[Date],"OneYearTargetPrice")</f>
        <v>41.16</v>
      </c>
      <c r="AE10">
        <f>RTD("gartle.rtd",,"rtd-mysql","fundamentals_day_history_yahoo",FundamentalsDayHistoryYahoo_Table1[Symbol],FundamentalsDayHistoryYahoo_Table1[Date],"PE")</f>
        <v>29.6</v>
      </c>
      <c r="AF10">
        <f>RTD("gartle.rtd",,"rtd-mysql","fundamentals_day_history_yahoo",FundamentalsDayHistoryYahoo_Table1[Symbol],FundamentalsDayHistoryYahoo_Table1[Date],"PEG")</f>
        <v>3.3</v>
      </c>
      <c r="AG10">
        <f>RTD("gartle.rtd",,"rtd-mysql","fundamentals_day_history_yahoo",FundamentalsDayHistoryYahoo_Table1[Symbol],FundamentalsDayHistoryYahoo_Table1[Date],"EPSEstCurrentYear")</f>
        <v>1.58</v>
      </c>
      <c r="AH10">
        <f>RTD("gartle.rtd",,"rtd-mysql","fundamentals_day_history_yahoo",FundamentalsDayHistoryYahoo_Table1[Symbol],FundamentalsDayHistoryYahoo_Table1[Date],"EPSEstNextQuarter")</f>
        <v>0.37</v>
      </c>
      <c r="AI10">
        <f>RTD("gartle.rtd",,"rtd-mysql","fundamentals_day_history_yahoo",FundamentalsDayHistoryYahoo_Table1[Symbol],FundamentalsDayHistoryYahoo_Table1[Date],"EPSEstNextYear")</f>
        <v>1.8</v>
      </c>
      <c r="AJ10">
        <f>RTD("gartle.rtd",,"rtd-mysql","fundamentals_day_history_yahoo",FundamentalsDayHistoryYahoo_Table1[Symbol],FundamentalsDayHistoryYahoo_Table1[Date],"EarningsShare")</f>
        <v>1.26</v>
      </c>
      <c r="AK10" t="str">
        <f>RTD("gartle.rtd",,"rtd-mysql","fundamentals_day_history_yahoo",FundamentalsDayHistoryYahoo_Table1[Symbol],FundamentalsDayHistoryYahoo_Table1[Date],"MarketCap")</f>
        <v>38.870B</v>
      </c>
      <c r="AL10" t="e">
        <f>RTD("gartle.rtd",,"rtd-mysql","fundamentals_day_history_yahoo",FundamentalsDayHistoryYahoo_Table1[Symbol],FundamentalsDayHistoryYahoo_Table1[Date],"DividendYield")</f>
        <v>#N/A</v>
      </c>
      <c r="AM10">
        <f>RTD("gartle.rtd",,"rtd-mysql","fundamentals_day_history_yahoo",FundamentalsDayHistoryYahoo_Table1[Symbol],FundamentalsDayHistoryYahoo_Table1[Date],"DividendShare")</f>
        <v>0</v>
      </c>
      <c r="AN10" t="e">
        <f>RTD("gartle.rtd",,"rtd-mysql","fundamentals_day_history_yahoo",FundamentalsDayHistoryYahoo_Table1[Symbol],FundamentalsDayHistoryYahoo_Table1[Date],"ExDividendDate")</f>
        <v>#N/A</v>
      </c>
      <c r="AO10" t="e">
        <f>RTD("gartle.rtd",,"rtd-mysql","fundamentals_day_history_yahoo",FundamentalsDayHistoryYahoo_Table1[Symbol],FundamentalsDayHistoryYahoo_Table1[Date],"DividendPayDate")</f>
        <v>#N/A</v>
      </c>
      <c r="AP10">
        <f>RTD("gartle.rtd",,"rtd-mysql","fundamentals_day_history_yahoo",FundamentalsDayHistoryYahoo_Table1[Symbol],FundamentalsDayHistoryYahoo_Table1[Date],"BookValue")</f>
        <v>12.587</v>
      </c>
      <c r="AQ10">
        <f>RTD("gartle.rtd",,"rtd-mysql","fundamentals_day_history_yahoo",FundamentalsDayHistoryYahoo_Table1[Symbol],FundamentalsDayHistoryYahoo_Table1[Date],"PriceBook")</f>
        <v>2.96</v>
      </c>
      <c r="AR10">
        <f>RTD("gartle.rtd",,"rtd-mysql","fundamentals_day_history_yahoo",FundamentalsDayHistoryYahoo_Table1[Symbol],FundamentalsDayHistoryYahoo_Table1[Date],"PriceSales")</f>
        <v>8.2799999999999994</v>
      </c>
      <c r="AS10">
        <f>RTD("gartle.rtd",,"rtd-mysql","fundamentals_day_history_yahoo",FundamentalsDayHistoryYahoo_Table1[Symbol],FundamentalsDayHistoryYahoo_Table1[Date],"PriceEPSEstCurrentYear")</f>
        <v>23.6</v>
      </c>
      <c r="AT10">
        <f>RTD("gartle.rtd",,"rtd-mysql","fundamentals_day_history_yahoo",FundamentalsDayHistoryYahoo_Table1[Symbol],FundamentalsDayHistoryYahoo_Table1[Date],"PriceEPSEstNextYear")</f>
        <v>20.72</v>
      </c>
      <c r="AU10" t="str">
        <f>RTD("gartle.rtd",,"rtd-mysql","fundamentals_day_history_yahoo",FundamentalsDayHistoryYahoo_Table1[Symbol],FundamentalsDayHistoryYahoo_Table1[Date],"EBITDA")</f>
        <v>1.206B</v>
      </c>
      <c r="AV10" t="str">
        <f>RTD("gartle.rtd",,"rtd-mysql","fundamentals_day_history_yahoo",FundamentalsDayHistoryYahoo_Table1[Symbol],FundamentalsDayHistoryYahoo_Table1[Date],"CompanyName")</f>
        <v>Yahoo Inc.</v>
      </c>
      <c r="AW10" t="str">
        <f>RTD("gartle.rtd",,"rtd-mysql","fundamentals_day_history_yahoo",FundamentalsDayHistoryYahoo_Table1[Symbol],FundamentalsDayHistoryYahoo_Table1[Date],"StockExchange")</f>
        <v>NasdaqNM</v>
      </c>
      <c r="AX10" t="e">
        <f>RTD("gartle.rtd",,"rtd-mysql","fundamentals_day_history_yahoo",FundamentalsDayHistoryYahoo_Table1[Symbol],FundamentalsDayHistoryYahoo_Table1[Date],"Commission")</f>
        <v>#N/A</v>
      </c>
      <c r="AY10" t="e">
        <f>RTD("gartle.rtd",,"rtd-mysql","fundamentals_day_history_yahoo",FundamentalsDayHistoryYahoo_Table1[Symbol],FundamentalsDayHistoryYahoo_Table1[Date],"Notes")</f>
        <v>#N/A</v>
      </c>
      <c r="AZ10" s="7">
        <f>RTD("gartle.rtd",,"rtd-mysql","fundamentals_day_history_yahoo",FundamentalsDayHistoryYahoo_Table1[Symbol],FundamentalsDayHistoryYahoo_Table1[Date],"LastUpdateTimeStamp")</f>
        <v>41695.187141203707</v>
      </c>
      <c r="BA10" t="str">
        <f>RTD("gartle.rtd",,"rtd-mysql","fundamentals_day_history_yahoo",FundamentalsDayHistoryYahoo_Table1[Symbol],FundamentalsDayHistoryYahoo_Table1[Date],"RTD_LastMessage")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  <pageSetUpPr fitToPage="1"/>
  </sheetPr>
  <dimension ref="B3:U8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E4" sqref="E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9.710937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9.7109375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171</v>
      </c>
      <c r="D4" s="5">
        <f>RTD("gartle.rtd",,"rtd-mysql","options_yahoo",OptionsYahoo_Table1[Code],"Date")</f>
        <v>41694</v>
      </c>
      <c r="E4" s="7">
        <f>RTD("gartle.rtd",,"rtd-mysql","options_yahoo",OptionsYahoo_Table1[Code],"Time")</f>
        <v>0.68239583333333331</v>
      </c>
      <c r="F4" t="str">
        <f>RTD("gartle.rtd",,"rtd-mysql","options_yahoo",OptionsYahoo_Table1[Code],"OptionCode")</f>
        <v>AAPL150117C00500000</v>
      </c>
      <c r="G4" t="str">
        <f>RTD("gartle.rtd",,"rtd-mysql","options_yahoo",OptionsYahoo_Table1[Code],"Symbol")</f>
        <v>AAPL</v>
      </c>
      <c r="H4" t="str">
        <f>RTD("gartle.rtd",,"rtd-mysql","options_yahoo",OptionsYahoo_Table1[Code],"OptionSymbol")</f>
        <v>AAPL</v>
      </c>
      <c r="I4" s="5">
        <f>RTD("gartle.rtd",,"rtd-mysql","options_yahoo",OptionsYahoo_Table1[Code],"ExpDate")</f>
        <v>42021</v>
      </c>
      <c r="J4">
        <f>RTD("gartle.rtd",,"rtd-mysql","options_yahoo",OptionsYahoo_Table1[Code],"Strike")</f>
        <v>500</v>
      </c>
      <c r="K4" t="str">
        <f>RTD("gartle.rtd",,"rtd-mysql","options_yahoo",OptionsYahoo_Table1[Code],"Type")</f>
        <v>CALL</v>
      </c>
      <c r="L4" s="8">
        <f>RTD("gartle.rtd",,"rtd-mysql","options_yahoo",OptionsYahoo_Table1[Code],"Last")</f>
        <v>59.43</v>
      </c>
      <c r="M4" s="9">
        <f>RTD("gartle.rtd",,"rtd-mysql","options_yahoo",OptionsYahoo_Table1[Code],"Change")</f>
        <v>1.43</v>
      </c>
      <c r="N4" s="10">
        <f>RTD("gartle.rtd",,"rtd-mysql","options_yahoo",OptionsYahoo_Table1[Code],"PercentChange")</f>
        <v>2.46551724137931E-2</v>
      </c>
      <c r="O4" s="8">
        <f>RTD("gartle.rtd",,"rtd-mysql","options_yahoo",OptionsYahoo_Table1[Code],"Mark")</f>
        <v>59.225000000000001</v>
      </c>
      <c r="P4" s="8">
        <f>RTD("gartle.rtd",,"rtd-mysql","options_yahoo",OptionsYahoo_Table1[Code],"Bid")</f>
        <v>58.8</v>
      </c>
      <c r="Q4" s="8">
        <f>RTD("gartle.rtd",,"rtd-mysql","options_yahoo",OptionsYahoo_Table1[Code],"Ask")</f>
        <v>59.65</v>
      </c>
      <c r="R4" s="11">
        <f>RTD("gartle.rtd",,"rtd-mysql","options_yahoo",OptionsYahoo_Table1[Code],"Volume")</f>
        <v>374</v>
      </c>
      <c r="S4" s="11">
        <f>RTD("gartle.rtd",,"rtd-mysql","options_yahoo",OptionsYahoo_Table1[Code],"OpenInt")</f>
        <v>45067</v>
      </c>
      <c r="T4" s="7">
        <f>RTD("gartle.rtd",,"rtd-mysql","options_yahoo",OptionsYahoo_Table1[Code],"LastUpdateTimeStamp")</f>
        <v>41695.187141203707</v>
      </c>
      <c r="U4" t="str">
        <f>RTD("gartle.rtd",,"rtd-mysql","options_yahoo",OptionsYahoo_Table1[Code],"RTD_LastMessage")</f>
        <v/>
      </c>
    </row>
    <row r="5" spans="2:21" x14ac:dyDescent="0.25">
      <c r="B5">
        <v>1</v>
      </c>
      <c r="C5" t="s">
        <v>172</v>
      </c>
      <c r="D5" s="5">
        <f>RTD("gartle.rtd",,"rtd-mysql","options_yahoo",OptionsYahoo_Table1[Code],"Date")</f>
        <v>41694</v>
      </c>
      <c r="E5" s="7">
        <f>RTD("gartle.rtd",,"rtd-mysql","options_yahoo",OptionsYahoo_Table1[Code],"Time")</f>
        <v>0.68239583333333331</v>
      </c>
      <c r="F5" t="str">
        <f>RTD("gartle.rtd",,"rtd-mysql","options_yahoo",OptionsYahoo_Table1[Code],"OptionCode")</f>
        <v>AAPL150117C00600000</v>
      </c>
      <c r="G5" t="str">
        <f>RTD("gartle.rtd",,"rtd-mysql","options_yahoo",OptionsYahoo_Table1[Code],"Symbol")</f>
        <v>AAPL</v>
      </c>
      <c r="H5" t="str">
        <f>RTD("gartle.rtd",,"rtd-mysql","options_yahoo",OptionsYahoo_Table1[Code],"OptionSymbol")</f>
        <v>AAPL</v>
      </c>
      <c r="I5" s="5">
        <f>RTD("gartle.rtd",,"rtd-mysql","options_yahoo",OptionsYahoo_Table1[Code],"ExpDate")</f>
        <v>42021</v>
      </c>
      <c r="J5">
        <f>RTD("gartle.rtd",,"rtd-mysql","options_yahoo",OptionsYahoo_Table1[Code],"Strike")</f>
        <v>600</v>
      </c>
      <c r="K5" t="str">
        <f>RTD("gartle.rtd",,"rtd-mysql","options_yahoo",OptionsYahoo_Table1[Code],"Type")</f>
        <v>CALL</v>
      </c>
      <c r="L5" s="8">
        <f>RTD("gartle.rtd",,"rtd-mysql","options_yahoo",OptionsYahoo_Table1[Code],"Last")</f>
        <v>21.25</v>
      </c>
      <c r="M5" s="9">
        <f>RTD("gartle.rtd",,"rtd-mysql","options_yahoo",OptionsYahoo_Table1[Code],"Change")</f>
        <v>0.75</v>
      </c>
      <c r="N5" s="10">
        <f>RTD("gartle.rtd",,"rtd-mysql","options_yahoo",OptionsYahoo_Table1[Code],"PercentChange")</f>
        <v>3.65853658536585E-2</v>
      </c>
      <c r="O5" s="8">
        <f>RTD("gartle.rtd",,"rtd-mysql","options_yahoo",OptionsYahoo_Table1[Code],"Mark")</f>
        <v>21.225000000000001</v>
      </c>
      <c r="P5" s="8">
        <f>RTD("gartle.rtd",,"rtd-mysql","options_yahoo",OptionsYahoo_Table1[Code],"Bid")</f>
        <v>21</v>
      </c>
      <c r="Q5" s="8">
        <f>RTD("gartle.rtd",,"rtd-mysql","options_yahoo",OptionsYahoo_Table1[Code],"Ask")</f>
        <v>21.45</v>
      </c>
      <c r="R5" s="11">
        <f>RTD("gartle.rtd",,"rtd-mysql","options_yahoo",OptionsYahoo_Table1[Code],"Volume")</f>
        <v>1395</v>
      </c>
      <c r="S5" s="11">
        <f>RTD("gartle.rtd",,"rtd-mysql","options_yahoo",OptionsYahoo_Table1[Code],"OpenInt")</f>
        <v>26340</v>
      </c>
      <c r="T5" s="7">
        <f>RTD("gartle.rtd",,"rtd-mysql","options_yahoo",OptionsYahoo_Table1[Code],"LastUpdateTimeStamp")</f>
        <v>41695.187141203707</v>
      </c>
      <c r="U5" t="str">
        <f>RTD("gartle.rtd",,"rtd-mysql","options_yahoo",OptionsYahoo_Table1[Code],"RTD_LastMessage")</f>
        <v/>
      </c>
    </row>
    <row r="6" spans="2:21" x14ac:dyDescent="0.25">
      <c r="B6">
        <v>2</v>
      </c>
      <c r="C6" t="s">
        <v>173</v>
      </c>
      <c r="D6" s="5">
        <f>RTD("gartle.rtd",,"rtd-mysql","options_yahoo",OptionsYahoo_Table1[Code],"Date")</f>
        <v>41694</v>
      </c>
      <c r="E6" s="7">
        <f>RTD("gartle.rtd",,"rtd-mysql","options_yahoo",OptionsYahoo_Table1[Code],"Time")</f>
        <v>0.68239583333333331</v>
      </c>
      <c r="F6" t="str">
        <f>RTD("gartle.rtd",,"rtd-mysql","options_yahoo",OptionsYahoo_Table1[Code],"OptionCode")</f>
        <v>AAPL150117P00500000</v>
      </c>
      <c r="G6" t="str">
        <f>RTD("gartle.rtd",,"rtd-mysql","options_yahoo",OptionsYahoo_Table1[Code],"Symbol")</f>
        <v>AAPL</v>
      </c>
      <c r="H6" t="str">
        <f>RTD("gartle.rtd",,"rtd-mysql","options_yahoo",OptionsYahoo_Table1[Code],"OptionSymbol")</f>
        <v>AAPL</v>
      </c>
      <c r="I6" s="5">
        <f>RTD("gartle.rtd",,"rtd-mysql","options_yahoo",OptionsYahoo_Table1[Code],"ExpDate")</f>
        <v>42021</v>
      </c>
      <c r="J6">
        <f>RTD("gartle.rtd",,"rtd-mysql","options_yahoo",OptionsYahoo_Table1[Code],"Strike")</f>
        <v>500</v>
      </c>
      <c r="K6" t="str">
        <f>RTD("gartle.rtd",,"rtd-mysql","options_yahoo",OptionsYahoo_Table1[Code],"Type")</f>
        <v>PUT</v>
      </c>
      <c r="L6" s="8">
        <f>RTD("gartle.rtd",,"rtd-mysql","options_yahoo",OptionsYahoo_Table1[Code],"Last")</f>
        <v>37.799999999999997</v>
      </c>
      <c r="M6" s="9">
        <f>RTD("gartle.rtd",,"rtd-mysql","options_yahoo",OptionsYahoo_Table1[Code],"Change")</f>
        <v>-2.1</v>
      </c>
      <c r="N6" s="10">
        <f>RTD("gartle.rtd",,"rtd-mysql","options_yahoo",OptionsYahoo_Table1[Code],"PercentChange")</f>
        <v>-5.2631578947368397E-2</v>
      </c>
      <c r="O6" s="8">
        <f>RTD("gartle.rtd",,"rtd-mysql","options_yahoo",OptionsYahoo_Table1[Code],"Mark")</f>
        <v>38.15</v>
      </c>
      <c r="P6" s="8">
        <f>RTD("gartle.rtd",,"rtd-mysql","options_yahoo",OptionsYahoo_Table1[Code],"Bid")</f>
        <v>38.1</v>
      </c>
      <c r="Q6" s="8">
        <f>RTD("gartle.rtd",,"rtd-mysql","options_yahoo",OptionsYahoo_Table1[Code],"Ask")</f>
        <v>38.200000000000003</v>
      </c>
      <c r="R6" s="11">
        <f>RTD("gartle.rtd",,"rtd-mysql","options_yahoo",OptionsYahoo_Table1[Code],"Volume")</f>
        <v>287</v>
      </c>
      <c r="S6" s="11">
        <f>RTD("gartle.rtd",,"rtd-mysql","options_yahoo",OptionsYahoo_Table1[Code],"OpenInt")</f>
        <v>19360</v>
      </c>
      <c r="T6" s="7">
        <f>RTD("gartle.rtd",,"rtd-mysql","options_yahoo",OptionsYahoo_Table1[Code],"LastUpdateTimeStamp")</f>
        <v>41695.187141203707</v>
      </c>
      <c r="U6" t="str">
        <f>RTD("gartle.rtd",,"rtd-mysql","options_yahoo",OptionsYahoo_Table1[Code],"RTD_LastMessage")</f>
        <v/>
      </c>
    </row>
    <row r="7" spans="2:21" x14ac:dyDescent="0.25">
      <c r="B7">
        <v>3</v>
      </c>
      <c r="C7" t="s">
        <v>174</v>
      </c>
      <c r="D7" s="5">
        <f>RTD("gartle.rtd",,"rtd-mysql","options_yahoo",OptionsYahoo_Table1[Code],"Date")</f>
        <v>41694</v>
      </c>
      <c r="E7" s="7">
        <f>RTD("gartle.rtd",,"rtd-mysql","options_yahoo",OptionsYahoo_Table1[Code],"Time")</f>
        <v>0.68239583333333331</v>
      </c>
      <c r="F7" t="str">
        <f>RTD("gartle.rtd",,"rtd-mysql","options_yahoo",OptionsYahoo_Table1[Code],"OptionCode")</f>
        <v>AAPL150117P00600000</v>
      </c>
      <c r="G7" t="str">
        <f>RTD("gartle.rtd",,"rtd-mysql","options_yahoo",OptionsYahoo_Table1[Code],"Symbol")</f>
        <v>AAPL</v>
      </c>
      <c r="H7" t="str">
        <f>RTD("gartle.rtd",,"rtd-mysql","options_yahoo",OptionsYahoo_Table1[Code],"OptionSymbol")</f>
        <v>AAPL</v>
      </c>
      <c r="I7" s="5">
        <f>RTD("gartle.rtd",,"rtd-mysql","options_yahoo",OptionsYahoo_Table1[Code],"ExpDate")</f>
        <v>42021</v>
      </c>
      <c r="J7">
        <f>RTD("gartle.rtd",,"rtd-mysql","options_yahoo",OptionsYahoo_Table1[Code],"Strike")</f>
        <v>600</v>
      </c>
      <c r="K7" t="str">
        <f>RTD("gartle.rtd",,"rtd-mysql","options_yahoo",OptionsYahoo_Table1[Code],"Type")</f>
        <v>PUT</v>
      </c>
      <c r="L7" s="8">
        <f>RTD("gartle.rtd",,"rtd-mysql","options_yahoo",OptionsYahoo_Table1[Code],"Last")</f>
        <v>104.2</v>
      </c>
      <c r="M7" s="9">
        <f>RTD("gartle.rtd",,"rtd-mysql","options_yahoo",OptionsYahoo_Table1[Code],"Change")</f>
        <v>1.2</v>
      </c>
      <c r="N7" s="10">
        <f>RTD("gartle.rtd",,"rtd-mysql","options_yahoo",OptionsYahoo_Table1[Code],"PercentChange")</f>
        <v>1.1650485436893201E-2</v>
      </c>
      <c r="O7" s="8">
        <f>RTD("gartle.rtd",,"rtd-mysql","options_yahoo",OptionsYahoo_Table1[Code],"Mark")</f>
        <v>100.8</v>
      </c>
      <c r="P7" s="8">
        <f>RTD("gartle.rtd",,"rtd-mysql","options_yahoo",OptionsYahoo_Table1[Code],"Bid")</f>
        <v>100.15</v>
      </c>
      <c r="Q7" s="8">
        <f>RTD("gartle.rtd",,"rtd-mysql","options_yahoo",OptionsYahoo_Table1[Code],"Ask")</f>
        <v>101.45</v>
      </c>
      <c r="R7" s="11">
        <f>RTD("gartle.rtd",,"rtd-mysql","options_yahoo",OptionsYahoo_Table1[Code],"Volume")</f>
        <v>24</v>
      </c>
      <c r="S7" s="11">
        <f>RTD("gartle.rtd",,"rtd-mysql","options_yahoo",OptionsYahoo_Table1[Code],"OpenInt")</f>
        <v>3872</v>
      </c>
      <c r="T7" s="7">
        <f>RTD("gartle.rtd",,"rtd-mysql","options_yahoo",OptionsYahoo_Table1[Code],"LastUpdateTimeStamp")</f>
        <v>41695.187141203707</v>
      </c>
      <c r="U7" t="str">
        <f>RTD("gartle.rtd",,"rtd-mysql","options_yahoo",OptionsYahoo_Table1[Code],"RTD_LastMessage")</f>
        <v/>
      </c>
    </row>
    <row r="8" spans="2:21" x14ac:dyDescent="0.25">
      <c r="T8" s="6"/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U8"/>
  <sheetViews>
    <sheetView showGridLines="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9.710937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9.7109375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171</v>
      </c>
      <c r="D4" s="5">
        <v>41694</v>
      </c>
      <c r="E4" s="7">
        <f>RTD("gartle.rtd",,"rtd-mysql","option_day_history_yahoo",OptionDayHistoryYahoo_Table1[Code],OptionDayHistoryYahoo_Table1[Date],"Time")</f>
        <v>0.68239583333333331</v>
      </c>
      <c r="F4" t="str">
        <f>RTD("gartle.rtd",,"rtd-mysql","option_day_history_yahoo",OptionDayHistoryYahoo_Table1[Code],OptionDayHistoryYahoo_Table1[Date],"OptionCode")</f>
        <v>AAPL150117C00500000</v>
      </c>
      <c r="G4" t="str">
        <f>RTD("gartle.rtd",,"rtd-mysql","option_day_history_yahoo",OptionDayHistoryYahoo_Table1[Code],OptionDayHistoryYahoo_Table1[Date],"Symbol")</f>
        <v>AAPL</v>
      </c>
      <c r="H4" t="str">
        <f>RTD("gartle.rtd",,"rtd-mysql","option_day_history_yahoo",OptionDayHistoryYahoo_Table1[Code],OptionDayHistoryYahoo_Table1[Date],"OptionSymbol")</f>
        <v>AAPL</v>
      </c>
      <c r="I4" s="5">
        <f>RTD("gartle.rtd",,"rtd-mysql","option_day_history_yahoo",OptionDayHistoryYahoo_Table1[Code],OptionDayHistoryYahoo_Table1[Date],"ExpDate")</f>
        <v>42021</v>
      </c>
      <c r="J4">
        <f>RTD("gartle.rtd",,"rtd-mysql","option_day_history_yahoo",OptionDayHistoryYahoo_Table1[Code],OptionDayHistoryYahoo_Table1[Date],"Strike")</f>
        <v>500</v>
      </c>
      <c r="K4" t="str">
        <f>RTD("gartle.rtd",,"rtd-mysql","option_day_history_yahoo",OptionDayHistoryYahoo_Table1[Code],OptionDayHistoryYahoo_Table1[Date],"Type")</f>
        <v>CALL</v>
      </c>
      <c r="L4" s="8">
        <f>RTD("gartle.rtd",,"rtd-mysql","option_day_history_yahoo",OptionDayHistoryYahoo_Table1[Code],OptionDayHistoryYahoo_Table1[Date],"Last")</f>
        <v>59.43</v>
      </c>
      <c r="M4" s="9">
        <f>RTD("gartle.rtd",,"rtd-mysql","option_day_history_yahoo",OptionDayHistoryYahoo_Table1[Code],OptionDayHistoryYahoo_Table1[Date],"Change")</f>
        <v>1.43</v>
      </c>
      <c r="N4" s="10">
        <f>RTD("gartle.rtd",,"rtd-mysql","option_day_history_yahoo",OptionDayHistoryYahoo_Table1[Code],OptionDayHistoryYahoo_Table1[Date],"PercentChange")</f>
        <v>2.46551724137931E-2</v>
      </c>
      <c r="O4" s="8">
        <f>RTD("gartle.rtd",,"rtd-mysql","option_day_history_yahoo",OptionDayHistoryYahoo_Table1[Code],OptionDayHistoryYahoo_Table1[Date],"Mark")</f>
        <v>59.225000000000001</v>
      </c>
      <c r="P4" s="8">
        <f>RTD("gartle.rtd",,"rtd-mysql","option_day_history_yahoo",OptionDayHistoryYahoo_Table1[Code],OptionDayHistoryYahoo_Table1[Date],"Bid")</f>
        <v>58.8</v>
      </c>
      <c r="Q4" s="8">
        <f>RTD("gartle.rtd",,"rtd-mysql","option_day_history_yahoo",OptionDayHistoryYahoo_Table1[Code],OptionDayHistoryYahoo_Table1[Date],"Ask")</f>
        <v>59.65</v>
      </c>
      <c r="R4" s="11">
        <f>RTD("gartle.rtd",,"rtd-mysql","option_day_history_yahoo",OptionDayHistoryYahoo_Table1[Code],OptionDayHistoryYahoo_Table1[Date],"Volume")</f>
        <v>374</v>
      </c>
      <c r="S4" s="11">
        <f>RTD("gartle.rtd",,"rtd-mysql","option_day_history_yahoo",OptionDayHistoryYahoo_Table1[Code],OptionDayHistoryYahoo_Table1[Date],"OpenInt")</f>
        <v>45067</v>
      </c>
      <c r="T4" s="7">
        <f>RTD("gartle.rtd",,"rtd-mysql","option_day_history_yahoo",OptionDayHistoryYahoo_Table1[Code],OptionDayHistoryYahoo_Table1[Date],"LastUpdateTimeStamp")</f>
        <v>41695.187141203707</v>
      </c>
      <c r="U4" t="str">
        <f>RTD("gartle.rtd",,"rtd-mysql","option_day_history_yahoo",OptionDayHistoryYahoo_Table1[Code],OptionDayHistoryYahoo_Table1[Date],"RTD_LastMessage")</f>
        <v/>
      </c>
    </row>
    <row r="5" spans="2:21" x14ac:dyDescent="0.25">
      <c r="B5">
        <v>1</v>
      </c>
      <c r="C5" t="s">
        <v>172</v>
      </c>
      <c r="D5" s="5">
        <v>41694</v>
      </c>
      <c r="E5" s="7">
        <f>RTD("gartle.rtd",,"rtd-mysql","option_day_history_yahoo",OptionDayHistoryYahoo_Table1[Code],OptionDayHistoryYahoo_Table1[Date],"Time")</f>
        <v>0.68239583333333331</v>
      </c>
      <c r="F5" t="str">
        <f>RTD("gartle.rtd",,"rtd-mysql","option_day_history_yahoo",OptionDayHistoryYahoo_Table1[Code],OptionDayHistoryYahoo_Table1[Date],"OptionCode")</f>
        <v>AAPL150117C00600000</v>
      </c>
      <c r="G5" t="str">
        <f>RTD("gartle.rtd",,"rtd-mysql","option_day_history_yahoo",OptionDayHistoryYahoo_Table1[Code],OptionDayHistoryYahoo_Table1[Date],"Symbol")</f>
        <v>AAPL</v>
      </c>
      <c r="H5" t="str">
        <f>RTD("gartle.rtd",,"rtd-mysql","option_day_history_yahoo",OptionDayHistoryYahoo_Table1[Code],OptionDayHistoryYahoo_Table1[Date],"OptionSymbol")</f>
        <v>AAPL</v>
      </c>
      <c r="I5" s="5">
        <f>RTD("gartle.rtd",,"rtd-mysql","option_day_history_yahoo",OptionDayHistoryYahoo_Table1[Code],OptionDayHistoryYahoo_Table1[Date],"ExpDate")</f>
        <v>42021</v>
      </c>
      <c r="J5">
        <f>RTD("gartle.rtd",,"rtd-mysql","option_day_history_yahoo",OptionDayHistoryYahoo_Table1[Code],OptionDayHistoryYahoo_Table1[Date],"Strike")</f>
        <v>600</v>
      </c>
      <c r="K5" t="str">
        <f>RTD("gartle.rtd",,"rtd-mysql","option_day_history_yahoo",OptionDayHistoryYahoo_Table1[Code],OptionDayHistoryYahoo_Table1[Date],"Type")</f>
        <v>CALL</v>
      </c>
      <c r="L5" s="8">
        <f>RTD("gartle.rtd",,"rtd-mysql","option_day_history_yahoo",OptionDayHistoryYahoo_Table1[Code],OptionDayHistoryYahoo_Table1[Date],"Last")</f>
        <v>21.25</v>
      </c>
      <c r="M5" s="9">
        <f>RTD("gartle.rtd",,"rtd-mysql","option_day_history_yahoo",OptionDayHistoryYahoo_Table1[Code],OptionDayHistoryYahoo_Table1[Date],"Change")</f>
        <v>0.75</v>
      </c>
      <c r="N5" s="10">
        <f>RTD("gartle.rtd",,"rtd-mysql","option_day_history_yahoo",OptionDayHistoryYahoo_Table1[Code],OptionDayHistoryYahoo_Table1[Date],"PercentChange")</f>
        <v>3.65853658536585E-2</v>
      </c>
      <c r="O5" s="8">
        <f>RTD("gartle.rtd",,"rtd-mysql","option_day_history_yahoo",OptionDayHistoryYahoo_Table1[Code],OptionDayHistoryYahoo_Table1[Date],"Mark")</f>
        <v>21.225000000000001</v>
      </c>
      <c r="P5" s="8">
        <f>RTD("gartle.rtd",,"rtd-mysql","option_day_history_yahoo",OptionDayHistoryYahoo_Table1[Code],OptionDayHistoryYahoo_Table1[Date],"Bid")</f>
        <v>21</v>
      </c>
      <c r="Q5" s="8">
        <f>RTD("gartle.rtd",,"rtd-mysql","option_day_history_yahoo",OptionDayHistoryYahoo_Table1[Code],OptionDayHistoryYahoo_Table1[Date],"Ask")</f>
        <v>21.45</v>
      </c>
      <c r="R5" s="11">
        <f>RTD("gartle.rtd",,"rtd-mysql","option_day_history_yahoo",OptionDayHistoryYahoo_Table1[Code],OptionDayHistoryYahoo_Table1[Date],"Volume")</f>
        <v>1395</v>
      </c>
      <c r="S5" s="11">
        <f>RTD("gartle.rtd",,"rtd-mysql","option_day_history_yahoo",OptionDayHistoryYahoo_Table1[Code],OptionDayHistoryYahoo_Table1[Date],"OpenInt")</f>
        <v>26340</v>
      </c>
      <c r="T5" s="7">
        <f>RTD("gartle.rtd",,"rtd-mysql","option_day_history_yahoo",OptionDayHistoryYahoo_Table1[Code],OptionDayHistoryYahoo_Table1[Date],"LastUpdateTimeStamp")</f>
        <v>41695.187141203707</v>
      </c>
      <c r="U5" t="str">
        <f>RTD("gartle.rtd",,"rtd-mysql","option_day_history_yahoo",OptionDayHistoryYahoo_Table1[Code],OptionDayHistoryYahoo_Table1[Date],"RTD_LastMessage")</f>
        <v/>
      </c>
    </row>
    <row r="6" spans="2:21" x14ac:dyDescent="0.25">
      <c r="B6">
        <v>2</v>
      </c>
      <c r="C6" t="s">
        <v>173</v>
      </c>
      <c r="D6" s="5">
        <v>41694</v>
      </c>
      <c r="E6" s="7">
        <f>RTD("gartle.rtd",,"rtd-mysql","option_day_history_yahoo",OptionDayHistoryYahoo_Table1[Code],OptionDayHistoryYahoo_Table1[Date],"Time")</f>
        <v>0.68239583333333331</v>
      </c>
      <c r="F6" t="str">
        <f>RTD("gartle.rtd",,"rtd-mysql","option_day_history_yahoo",OptionDayHistoryYahoo_Table1[Code],OptionDayHistoryYahoo_Table1[Date],"OptionCode")</f>
        <v>AAPL150117P00500000</v>
      </c>
      <c r="G6" t="str">
        <f>RTD("gartle.rtd",,"rtd-mysql","option_day_history_yahoo",OptionDayHistoryYahoo_Table1[Code],OptionDayHistoryYahoo_Table1[Date],"Symbol")</f>
        <v>AAPL</v>
      </c>
      <c r="H6" t="str">
        <f>RTD("gartle.rtd",,"rtd-mysql","option_day_history_yahoo",OptionDayHistoryYahoo_Table1[Code],OptionDayHistoryYahoo_Table1[Date],"OptionSymbol")</f>
        <v>AAPL</v>
      </c>
      <c r="I6" s="5">
        <f>RTD("gartle.rtd",,"rtd-mysql","option_day_history_yahoo",OptionDayHistoryYahoo_Table1[Code],OptionDayHistoryYahoo_Table1[Date],"ExpDate")</f>
        <v>42021</v>
      </c>
      <c r="J6">
        <f>RTD("gartle.rtd",,"rtd-mysql","option_day_history_yahoo",OptionDayHistoryYahoo_Table1[Code],OptionDayHistoryYahoo_Table1[Date],"Strike")</f>
        <v>500</v>
      </c>
      <c r="K6" t="str">
        <f>RTD("gartle.rtd",,"rtd-mysql","option_day_history_yahoo",OptionDayHistoryYahoo_Table1[Code],OptionDayHistoryYahoo_Table1[Date],"Type")</f>
        <v>PUT</v>
      </c>
      <c r="L6" s="8">
        <f>RTD("gartle.rtd",,"rtd-mysql","option_day_history_yahoo",OptionDayHistoryYahoo_Table1[Code],OptionDayHistoryYahoo_Table1[Date],"Last")</f>
        <v>37.799999999999997</v>
      </c>
      <c r="M6" s="9">
        <f>RTD("gartle.rtd",,"rtd-mysql","option_day_history_yahoo",OptionDayHistoryYahoo_Table1[Code],OptionDayHistoryYahoo_Table1[Date],"Change")</f>
        <v>-2.1</v>
      </c>
      <c r="N6" s="10">
        <f>RTD("gartle.rtd",,"rtd-mysql","option_day_history_yahoo",OptionDayHistoryYahoo_Table1[Code],OptionDayHistoryYahoo_Table1[Date],"PercentChange")</f>
        <v>-5.2631578947368397E-2</v>
      </c>
      <c r="O6" s="8">
        <f>RTD("gartle.rtd",,"rtd-mysql","option_day_history_yahoo",OptionDayHistoryYahoo_Table1[Code],OptionDayHistoryYahoo_Table1[Date],"Mark")</f>
        <v>38.15</v>
      </c>
      <c r="P6" s="8">
        <f>RTD("gartle.rtd",,"rtd-mysql","option_day_history_yahoo",OptionDayHistoryYahoo_Table1[Code],OptionDayHistoryYahoo_Table1[Date],"Bid")</f>
        <v>38.1</v>
      </c>
      <c r="Q6" s="8">
        <f>RTD("gartle.rtd",,"rtd-mysql","option_day_history_yahoo",OptionDayHistoryYahoo_Table1[Code],OptionDayHistoryYahoo_Table1[Date],"Ask")</f>
        <v>38.200000000000003</v>
      </c>
      <c r="R6" s="11">
        <f>RTD("gartle.rtd",,"rtd-mysql","option_day_history_yahoo",OptionDayHistoryYahoo_Table1[Code],OptionDayHistoryYahoo_Table1[Date],"Volume")</f>
        <v>287</v>
      </c>
      <c r="S6" s="11">
        <f>RTD("gartle.rtd",,"rtd-mysql","option_day_history_yahoo",OptionDayHistoryYahoo_Table1[Code],OptionDayHistoryYahoo_Table1[Date],"OpenInt")</f>
        <v>19360</v>
      </c>
      <c r="T6" s="7">
        <f>RTD("gartle.rtd",,"rtd-mysql","option_day_history_yahoo",OptionDayHistoryYahoo_Table1[Code],OptionDayHistoryYahoo_Table1[Date],"LastUpdateTimeStamp")</f>
        <v>41695.187141203707</v>
      </c>
      <c r="U6" t="str">
        <f>RTD("gartle.rtd",,"rtd-mysql","option_day_history_yahoo",OptionDayHistoryYahoo_Table1[Code],OptionDayHistoryYahoo_Table1[Date],"RTD_LastMessage")</f>
        <v/>
      </c>
    </row>
    <row r="7" spans="2:21" x14ac:dyDescent="0.25">
      <c r="B7">
        <v>3</v>
      </c>
      <c r="C7" t="s">
        <v>174</v>
      </c>
      <c r="D7" s="5">
        <v>41694</v>
      </c>
      <c r="E7" s="7">
        <f>RTD("gartle.rtd",,"rtd-mysql","option_day_history_yahoo",OptionDayHistoryYahoo_Table1[Code],OptionDayHistoryYahoo_Table1[Date],"Time")</f>
        <v>0.68239583333333331</v>
      </c>
      <c r="F7" t="str">
        <f>RTD("gartle.rtd",,"rtd-mysql","option_day_history_yahoo",OptionDayHistoryYahoo_Table1[Code],OptionDayHistoryYahoo_Table1[Date],"OptionCode")</f>
        <v>AAPL150117P00600000</v>
      </c>
      <c r="G7" t="str">
        <f>RTD("gartle.rtd",,"rtd-mysql","option_day_history_yahoo",OptionDayHistoryYahoo_Table1[Code],OptionDayHistoryYahoo_Table1[Date],"Symbol")</f>
        <v>AAPL</v>
      </c>
      <c r="H7" t="str">
        <f>RTD("gartle.rtd",,"rtd-mysql","option_day_history_yahoo",OptionDayHistoryYahoo_Table1[Code],OptionDayHistoryYahoo_Table1[Date],"OptionSymbol")</f>
        <v>AAPL</v>
      </c>
      <c r="I7" s="5">
        <f>RTD("gartle.rtd",,"rtd-mysql","option_day_history_yahoo",OptionDayHistoryYahoo_Table1[Code],OptionDayHistoryYahoo_Table1[Date],"ExpDate")</f>
        <v>42021</v>
      </c>
      <c r="J7">
        <f>RTD("gartle.rtd",,"rtd-mysql","option_day_history_yahoo",OptionDayHistoryYahoo_Table1[Code],OptionDayHistoryYahoo_Table1[Date],"Strike")</f>
        <v>600</v>
      </c>
      <c r="K7" t="str">
        <f>RTD("gartle.rtd",,"rtd-mysql","option_day_history_yahoo",OptionDayHistoryYahoo_Table1[Code],OptionDayHistoryYahoo_Table1[Date],"Type")</f>
        <v>PUT</v>
      </c>
      <c r="L7" s="8">
        <f>RTD("gartle.rtd",,"rtd-mysql","option_day_history_yahoo",OptionDayHistoryYahoo_Table1[Code],OptionDayHistoryYahoo_Table1[Date],"Last")</f>
        <v>104.2</v>
      </c>
      <c r="M7" s="9">
        <f>RTD("gartle.rtd",,"rtd-mysql","option_day_history_yahoo",OptionDayHistoryYahoo_Table1[Code],OptionDayHistoryYahoo_Table1[Date],"Change")</f>
        <v>1.2</v>
      </c>
      <c r="N7" s="10">
        <f>RTD("gartle.rtd",,"rtd-mysql","option_day_history_yahoo",OptionDayHistoryYahoo_Table1[Code],OptionDayHistoryYahoo_Table1[Date],"PercentChange")</f>
        <v>1.1650485436893201E-2</v>
      </c>
      <c r="O7" s="8">
        <f>RTD("gartle.rtd",,"rtd-mysql","option_day_history_yahoo",OptionDayHistoryYahoo_Table1[Code],OptionDayHistoryYahoo_Table1[Date],"Mark")</f>
        <v>100.8</v>
      </c>
      <c r="P7" s="8">
        <f>RTD("gartle.rtd",,"rtd-mysql","option_day_history_yahoo",OptionDayHistoryYahoo_Table1[Code],OptionDayHistoryYahoo_Table1[Date],"Bid")</f>
        <v>100.15</v>
      </c>
      <c r="Q7" s="8">
        <f>RTD("gartle.rtd",,"rtd-mysql","option_day_history_yahoo",OptionDayHistoryYahoo_Table1[Code],OptionDayHistoryYahoo_Table1[Date],"Ask")</f>
        <v>101.45</v>
      </c>
      <c r="R7" s="11">
        <f>RTD("gartle.rtd",,"rtd-mysql","option_day_history_yahoo",OptionDayHistoryYahoo_Table1[Code],OptionDayHistoryYahoo_Table1[Date],"Volume")</f>
        <v>24</v>
      </c>
      <c r="S7" s="11">
        <f>RTD("gartle.rtd",,"rtd-mysql","option_day_history_yahoo",OptionDayHistoryYahoo_Table1[Code],OptionDayHistoryYahoo_Table1[Date],"OpenInt")</f>
        <v>3872</v>
      </c>
      <c r="T7" s="7">
        <f>RTD("gartle.rtd",,"rtd-mysql","option_day_history_yahoo",OptionDayHistoryYahoo_Table1[Code],OptionDayHistoryYahoo_Table1[Date],"LastUpdateTimeStamp")</f>
        <v>41695.187141203707</v>
      </c>
      <c r="U7" t="str">
        <f>RTD("gartle.rtd",,"rtd-mysql","option_day_history_yahoo",OptionDayHistoryYahoo_Table1[Code],OptionDayHistoryYahoo_Table1[Date],"RTD_LastMessage")</f>
        <v/>
      </c>
    </row>
    <row r="8" spans="2:21" x14ac:dyDescent="0.25">
      <c r="T8" s="6"/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Readme</vt:lpstr>
      <vt:lpstr>Tables</vt:lpstr>
      <vt:lpstr>QuotesYahoo</vt:lpstr>
      <vt:lpstr>QuoteDayHistoryYahoo</vt:lpstr>
      <vt:lpstr>StocksYahoo</vt:lpstr>
      <vt:lpstr>FundamentalsYahoo</vt:lpstr>
      <vt:lpstr>FundamentalsDayHistoryYahoo</vt:lpstr>
      <vt:lpstr>OptionsYahoo</vt:lpstr>
      <vt:lpstr>OptionDayHistoryYahoo</vt:lpstr>
      <vt:lpstr>FundamentalsDayHistoryYahoo!Print_Area</vt:lpstr>
      <vt:lpstr>FundamentalsYahoo!Print_Area</vt:lpstr>
      <vt:lpstr>OptionDayHistoryYahoo!Print_Area</vt:lpstr>
      <vt:lpstr>OptionsYahoo!Print_Area</vt:lpstr>
      <vt:lpstr>QuoteDayHistoryYahoo!Print_Area</vt:lpstr>
      <vt:lpstr>QuotesYahoo!Print_Area</vt:lpstr>
      <vt:lpstr>StocksYahoo!Print_Area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2014-02-25T17:10:39Z</dcterms:modified>
</cp:coreProperties>
</file>