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 activeTab="1"/>
  </bookViews>
  <sheets>
    <sheet name="Readme" sheetId="9" r:id="rId1"/>
    <sheet name="WatchList" sheetId="2" r:id="rId2"/>
    <sheet name="Quotes" sheetId="1" r:id="rId3"/>
    <sheet name="HistoricalData" sheetId="4" r:id="rId4"/>
    <sheet name="Stocks" sheetId="3" r:id="rId5"/>
    <sheet name="OptionsByCode" sheetId="5" r:id="rId6"/>
    <sheet name="OptionsByContract" sheetId="6" r:id="rId7"/>
    <sheet name="CalendarModel" sheetId="7" r:id="rId8"/>
  </sheets>
  <definedNames>
    <definedName name="_xlnm.Print_Area" localSheetId="0">Readme!$B$2:$B$21</definedName>
  </definedNames>
  <calcPr calcId="145621"/>
</workbook>
</file>

<file path=xl/calcChain.xml><?xml version="1.0" encoding="utf-8"?>
<calcChain xmlns="http://schemas.openxmlformats.org/spreadsheetml/2006/main">
  <c r="E7" i="7" l="1"/>
  <c r="F7" i="7"/>
  <c r="E6" i="7"/>
  <c r="F6" i="7"/>
  <c r="E5" i="7"/>
  <c r="F5" i="7"/>
  <c r="F4" i="7"/>
  <c r="E4" i="7"/>
  <c r="H8" i="3"/>
  <c r="F6" i="3"/>
  <c r="G5" i="3"/>
  <c r="H9" i="3"/>
  <c r="G4" i="3"/>
  <c r="F8" i="3"/>
  <c r="H10" i="3"/>
  <c r="G10" i="3"/>
  <c r="H5" i="3"/>
  <c r="F4" i="3"/>
  <c r="H6" i="3"/>
  <c r="G6" i="3"/>
  <c r="H4" i="3"/>
  <c r="G7" i="3"/>
  <c r="H7" i="3"/>
  <c r="G9" i="3"/>
  <c r="G8" i="3"/>
  <c r="F9" i="3"/>
  <c r="G6" i="5"/>
  <c r="G4" i="5"/>
  <c r="G5" i="5"/>
  <c r="G7" i="5"/>
  <c r="F4" i="2"/>
  <c r="E5" i="1"/>
  <c r="F7" i="3"/>
  <c r="E8" i="1"/>
  <c r="F5" i="3"/>
  <c r="F10" i="2"/>
  <c r="F5" i="2"/>
  <c r="F7" i="2"/>
  <c r="F9" i="2"/>
  <c r="E6" i="1"/>
  <c r="F6" i="2"/>
  <c r="E9" i="1"/>
  <c r="E4" i="1"/>
  <c r="F10" i="3"/>
  <c r="F8" i="2"/>
  <c r="E10" i="1"/>
  <c r="E7" i="1"/>
  <c r="G7" i="7" l="1"/>
  <c r="G4" i="7"/>
  <c r="G5" i="7"/>
  <c r="G6" i="7"/>
  <c r="K5" i="2"/>
  <c r="J6" i="2"/>
  <c r="J4" i="2"/>
  <c r="L4" i="2"/>
  <c r="Q4" i="2"/>
  <c r="J8" i="2"/>
  <c r="Q9" i="2"/>
  <c r="J5" i="2"/>
  <c r="Q5" i="2"/>
  <c r="K7" i="2"/>
  <c r="D6" i="2"/>
  <c r="D4" i="2"/>
  <c r="L9" i="2"/>
  <c r="K6" i="2"/>
  <c r="Q10" i="2"/>
  <c r="J10" i="2"/>
  <c r="K4" i="2"/>
  <c r="Q6" i="2"/>
  <c r="L7" i="2"/>
  <c r="L8" i="2"/>
  <c r="J7" i="2"/>
  <c r="L10" i="2"/>
  <c r="Q7" i="2"/>
  <c r="Q8" i="2"/>
  <c r="L5" i="2"/>
  <c r="D9" i="2"/>
  <c r="D7" i="2"/>
  <c r="D10" i="2"/>
  <c r="K10" i="2"/>
  <c r="L6" i="2"/>
  <c r="K8" i="2"/>
  <c r="K9" i="2"/>
  <c r="J9" i="2"/>
  <c r="D5" i="2"/>
  <c r="D8" i="2"/>
  <c r="AE7" i="1"/>
  <c r="AM5" i="1"/>
  <c r="I9" i="1"/>
  <c r="AP5" i="1"/>
  <c r="AJ5" i="1"/>
  <c r="AJ6" i="1"/>
  <c r="AP4" i="1"/>
  <c r="J6" i="1"/>
  <c r="AC5" i="1"/>
  <c r="M8" i="1"/>
  <c r="K9" i="1"/>
  <c r="AC8" i="1"/>
  <c r="AT6" i="1"/>
  <c r="BC4" i="1"/>
  <c r="AW4" i="1"/>
  <c r="AQ9" i="1"/>
  <c r="P5" i="1"/>
  <c r="R10" i="1"/>
  <c r="AD5" i="1"/>
  <c r="BC10" i="1"/>
  <c r="AW7" i="1"/>
  <c r="X9" i="1"/>
  <c r="K4" i="1"/>
  <c r="AP8" i="1"/>
  <c r="AW5" i="1"/>
  <c r="BC9" i="1"/>
  <c r="AU7" i="1"/>
  <c r="AP6" i="1"/>
  <c r="AN9" i="1"/>
  <c r="AV8" i="1"/>
  <c r="W8" i="1"/>
  <c r="AE4" i="1"/>
  <c r="K6" i="1"/>
  <c r="AP10" i="1"/>
  <c r="Q5" i="1"/>
  <c r="BC5" i="1"/>
  <c r="M10" i="1"/>
  <c r="R9" i="1"/>
  <c r="AC4" i="1"/>
  <c r="AO9" i="1"/>
  <c r="I7" i="1"/>
  <c r="AG7" i="1"/>
  <c r="J7" i="1"/>
  <c r="AR5" i="1"/>
  <c r="AR4" i="1"/>
  <c r="AI9" i="1"/>
  <c r="N6" i="1"/>
  <c r="AP9" i="1"/>
  <c r="X10" i="1"/>
  <c r="AM9" i="1"/>
  <c r="AV5" i="1"/>
  <c r="AF10" i="1"/>
  <c r="AV7" i="1"/>
  <c r="P9" i="1"/>
  <c r="N10" i="1"/>
  <c r="O9" i="1"/>
  <c r="Q7" i="1"/>
  <c r="I8" i="1"/>
  <c r="AD9" i="1"/>
  <c r="AO4" i="1"/>
  <c r="AC9" i="1"/>
  <c r="P4" i="1"/>
  <c r="AU10" i="1"/>
  <c r="AN4" i="1"/>
  <c r="P6" i="1"/>
  <c r="AD4" i="1"/>
  <c r="X5" i="1"/>
  <c r="P8" i="1"/>
  <c r="AD7" i="1"/>
  <c r="AM7" i="1"/>
  <c r="N7" i="1"/>
  <c r="K5" i="1"/>
  <c r="AU5" i="1"/>
  <c r="O7" i="1"/>
  <c r="C7" i="1"/>
  <c r="O8" i="1"/>
  <c r="O4" i="1"/>
  <c r="J4" i="1"/>
  <c r="AV4" i="1"/>
  <c r="AH9" i="1"/>
  <c r="J9" i="1"/>
  <c r="AM4" i="1"/>
  <c r="K8" i="1"/>
  <c r="AJ8" i="1"/>
  <c r="P10" i="1"/>
  <c r="O10" i="1"/>
  <c r="AG4" i="1"/>
  <c r="X6" i="1"/>
  <c r="AQ8" i="1"/>
  <c r="AT7" i="1"/>
  <c r="AG10" i="1"/>
  <c r="AL4" i="1"/>
  <c r="AF4" i="1"/>
  <c r="C4" i="1"/>
  <c r="W10" i="1"/>
  <c r="M4" i="1"/>
  <c r="AR9" i="1"/>
  <c r="N4" i="1"/>
  <c r="AS8" i="1"/>
  <c r="AE8" i="1"/>
  <c r="O6" i="1"/>
  <c r="AU6" i="1"/>
  <c r="W4" i="1"/>
  <c r="W7" i="1"/>
  <c r="AF7" i="1"/>
  <c r="AL10" i="1"/>
  <c r="W5" i="1"/>
  <c r="AG5" i="1"/>
  <c r="AF9" i="1"/>
  <c r="AE5" i="1"/>
  <c r="K7" i="1"/>
  <c r="AW10" i="1"/>
  <c r="J5" i="1"/>
  <c r="AI8" i="1"/>
  <c r="AW9" i="1"/>
  <c r="AC7" i="1"/>
  <c r="AU8" i="1"/>
  <c r="AQ5" i="1"/>
  <c r="C6" i="1"/>
  <c r="N5" i="1"/>
  <c r="Q9" i="1"/>
  <c r="AQ4" i="1"/>
  <c r="R8" i="1"/>
  <c r="AT5" i="1"/>
  <c r="AT10" i="1"/>
  <c r="AI4" i="1"/>
  <c r="R6" i="1"/>
  <c r="W6" i="1"/>
  <c r="AJ9" i="1"/>
  <c r="BC6" i="1"/>
  <c r="AD10" i="1"/>
  <c r="AV10" i="1"/>
  <c r="AO8" i="1"/>
  <c r="C8" i="1"/>
  <c r="AS6" i="1"/>
  <c r="AS5" i="1"/>
  <c r="AL7" i="1"/>
  <c r="AM10" i="1"/>
  <c r="AL8" i="1"/>
  <c r="AW8" i="1"/>
  <c r="AG8" i="1"/>
  <c r="O5" i="1"/>
  <c r="AH5" i="1"/>
  <c r="AR8" i="1"/>
  <c r="Q10" i="1"/>
  <c r="AJ7" i="1"/>
  <c r="AU4" i="1"/>
  <c r="AS4" i="1"/>
  <c r="AI6" i="1"/>
  <c r="Q8" i="1"/>
  <c r="BC7" i="1"/>
  <c r="AL5" i="1"/>
  <c r="AP7" i="1"/>
  <c r="AI5" i="1"/>
  <c r="AC6" i="1"/>
  <c r="M5" i="1"/>
  <c r="AH7" i="1"/>
  <c r="AC10" i="1"/>
  <c r="AD8" i="1"/>
  <c r="Q6" i="1"/>
  <c r="R7" i="1"/>
  <c r="AG9" i="1"/>
  <c r="AQ10" i="1"/>
  <c r="X4" i="1"/>
  <c r="P7" i="1"/>
  <c r="AI7" i="1"/>
  <c r="AR7" i="1"/>
  <c r="AW6" i="1"/>
  <c r="C9" i="1"/>
  <c r="AE9" i="1"/>
  <c r="M6" i="1"/>
  <c r="BC8" i="1"/>
  <c r="C10" i="1"/>
  <c r="N9" i="1"/>
  <c r="AI10" i="1"/>
  <c r="AS7" i="1"/>
  <c r="X7" i="1"/>
  <c r="AG6" i="1"/>
  <c r="AH6" i="1"/>
  <c r="AN8" i="1"/>
  <c r="AH4" i="1"/>
  <c r="Q4" i="1"/>
  <c r="X8" i="1"/>
  <c r="AD6" i="1"/>
  <c r="K10" i="1"/>
  <c r="I6" i="1"/>
  <c r="J10" i="1"/>
  <c r="AL9" i="1"/>
  <c r="AU9" i="1"/>
  <c r="J8" i="1"/>
  <c r="AJ4" i="1"/>
  <c r="AT8" i="1"/>
  <c r="AV9" i="1"/>
  <c r="AR6" i="1"/>
  <c r="AM6" i="1"/>
  <c r="AQ7" i="1"/>
  <c r="AH10" i="1"/>
  <c r="W9" i="1"/>
  <c r="R4" i="1"/>
  <c r="AR10" i="1"/>
  <c r="AL6" i="1"/>
  <c r="R5" i="1"/>
  <c r="AM8" i="1"/>
  <c r="AE10" i="1"/>
  <c r="I10" i="1"/>
  <c r="N8" i="1"/>
  <c r="I5" i="1"/>
  <c r="AQ6" i="1"/>
  <c r="I4" i="1"/>
  <c r="M7" i="1"/>
  <c r="AS10" i="1"/>
  <c r="AF8" i="1"/>
  <c r="C5" i="1"/>
  <c r="AT9" i="1"/>
  <c r="AH8" i="1"/>
  <c r="M9" i="1"/>
  <c r="AV6" i="1"/>
  <c r="AJ10" i="1"/>
  <c r="AF5" i="1"/>
  <c r="AE6" i="1"/>
  <c r="AF6" i="1"/>
  <c r="AS9" i="1"/>
  <c r="AT4" i="1"/>
  <c r="Q4" i="4"/>
  <c r="G5" i="4"/>
  <c r="Q9" i="4"/>
  <c r="T8" i="4"/>
  <c r="K8" i="4"/>
  <c r="E8" i="4"/>
  <c r="S4" i="4"/>
  <c r="Z10" i="4"/>
  <c r="Q10" i="4"/>
  <c r="N8" i="4"/>
  <c r="E10" i="4"/>
  <c r="S5" i="4"/>
  <c r="M5" i="4"/>
  <c r="P5" i="4"/>
  <c r="D8" i="4"/>
  <c r="Z5" i="4"/>
  <c r="N4" i="4"/>
  <c r="K9" i="4"/>
  <c r="M6" i="4"/>
  <c r="H6" i="4"/>
  <c r="F4" i="4"/>
  <c r="Y4" i="4"/>
  <c r="Y9" i="4"/>
  <c r="X9" i="4"/>
  <c r="R7" i="4"/>
  <c r="J4" i="4"/>
  <c r="D10" i="4"/>
  <c r="R4" i="4"/>
  <c r="P10" i="4"/>
  <c r="I5" i="4"/>
  <c r="J9" i="4"/>
  <c r="L6" i="4"/>
  <c r="R6" i="4"/>
  <c r="U4" i="4"/>
  <c r="F9" i="4"/>
  <c r="G10" i="4"/>
  <c r="I9" i="4"/>
  <c r="O6" i="4"/>
  <c r="N5" i="4"/>
  <c r="O7" i="4"/>
  <c r="J5" i="4"/>
  <c r="Q8" i="4"/>
  <c r="J10" i="4"/>
  <c r="I4" i="4"/>
  <c r="Q5" i="4"/>
  <c r="H7" i="4"/>
  <c r="F5" i="4"/>
  <c r="D5" i="4"/>
  <c r="Z6" i="4"/>
  <c r="D6" i="4"/>
  <c r="G4" i="4"/>
  <c r="U6" i="4"/>
  <c r="I6" i="4"/>
  <c r="P7" i="4"/>
  <c r="S8" i="4"/>
  <c r="Q6" i="4"/>
  <c r="F7" i="4"/>
  <c r="X7" i="4"/>
  <c r="Y6" i="4"/>
  <c r="S6" i="4"/>
  <c r="L5" i="4"/>
  <c r="F8" i="4"/>
  <c r="U8" i="4"/>
  <c r="P4" i="4"/>
  <c r="J7" i="4"/>
  <c r="G8" i="4"/>
  <c r="U9" i="4"/>
  <c r="G6" i="4"/>
  <c r="Y5" i="4"/>
  <c r="I8" i="4"/>
  <c r="Z4" i="4"/>
  <c r="M10" i="4"/>
  <c r="T4" i="4"/>
  <c r="O10" i="4"/>
  <c r="F10" i="4"/>
  <c r="N10" i="4"/>
  <c r="T7" i="4"/>
  <c r="H10" i="4"/>
  <c r="R10" i="4"/>
  <c r="O9" i="4"/>
  <c r="L7" i="4"/>
  <c r="J8" i="4"/>
  <c r="I7" i="4"/>
  <c r="D9" i="4"/>
  <c r="R8" i="4"/>
  <c r="Z7" i="4"/>
  <c r="L8" i="4"/>
  <c r="E4" i="4"/>
  <c r="P6" i="4"/>
  <c r="E7" i="4"/>
  <c r="T10" i="4"/>
  <c r="G9" i="4"/>
  <c r="L10" i="4"/>
  <c r="Y8" i="4"/>
  <c r="O8" i="4"/>
  <c r="U10" i="4"/>
  <c r="E6" i="4"/>
  <c r="H9" i="4"/>
  <c r="D7" i="4"/>
  <c r="X4" i="4"/>
  <c r="T5" i="4"/>
  <c r="X8" i="4"/>
  <c r="Q7" i="4"/>
  <c r="F6" i="4"/>
  <c r="K4" i="4"/>
  <c r="H5" i="4"/>
  <c r="S9" i="4"/>
  <c r="Z8" i="4"/>
  <c r="E9" i="4"/>
  <c r="G7" i="4"/>
  <c r="T6" i="4"/>
  <c r="D4" i="4"/>
  <c r="K6" i="4"/>
  <c r="P9" i="4"/>
  <c r="X6" i="4"/>
  <c r="U7" i="4"/>
  <c r="N6" i="4"/>
  <c r="K10" i="4"/>
  <c r="M7" i="4"/>
  <c r="P8" i="4"/>
  <c r="M9" i="4"/>
  <c r="L9" i="4"/>
  <c r="K5" i="4"/>
  <c r="S10" i="4"/>
  <c r="N9" i="4"/>
  <c r="E5" i="4"/>
  <c r="K7" i="4"/>
  <c r="U5" i="4"/>
  <c r="R5" i="4"/>
  <c r="I10" i="4"/>
  <c r="N7" i="4"/>
  <c r="R9" i="4"/>
  <c r="Z9" i="4"/>
  <c r="Y7" i="4"/>
  <c r="M8" i="4"/>
  <c r="H4" i="4"/>
  <c r="O5" i="4"/>
  <c r="L4" i="4"/>
  <c r="Y10" i="4"/>
  <c r="H8" i="4"/>
  <c r="T9" i="4"/>
  <c r="M4" i="4"/>
  <c r="S7" i="4"/>
  <c r="X5" i="4"/>
  <c r="X10" i="4"/>
  <c r="J6" i="4"/>
  <c r="O4" i="4"/>
  <c r="AK5" i="1"/>
  <c r="AK4" i="1"/>
  <c r="AB6" i="1"/>
  <c r="AK6" i="1"/>
  <c r="V6" i="1"/>
  <c r="U6" i="1"/>
  <c r="H6" i="1"/>
  <c r="AA6" i="1"/>
  <c r="H10" i="2"/>
  <c r="I10" i="2"/>
  <c r="G10" i="2"/>
  <c r="G8" i="2"/>
  <c r="H8" i="2"/>
  <c r="I8" i="2"/>
  <c r="I9" i="2"/>
  <c r="H9" i="2"/>
  <c r="G9" i="2"/>
  <c r="K4" i="3"/>
  <c r="M8" i="3"/>
  <c r="E9" i="3"/>
  <c r="D10" i="3"/>
  <c r="D8" i="3"/>
  <c r="L7" i="3"/>
  <c r="L4" i="3"/>
  <c r="K9" i="3"/>
  <c r="D6" i="3"/>
  <c r="E7" i="3"/>
  <c r="L5" i="3"/>
  <c r="E10" i="3"/>
  <c r="K7" i="3"/>
  <c r="D7" i="3"/>
  <c r="M4" i="3"/>
  <c r="E5" i="3"/>
  <c r="E6" i="3"/>
  <c r="D4" i="3"/>
  <c r="D5" i="3"/>
  <c r="K8" i="3"/>
  <c r="L6" i="3"/>
  <c r="K10" i="3"/>
  <c r="M6" i="3"/>
  <c r="L8" i="3"/>
  <c r="K5" i="3"/>
  <c r="E8" i="3"/>
  <c r="K6" i="3"/>
  <c r="D9" i="3"/>
  <c r="M9" i="3"/>
  <c r="M10" i="3"/>
  <c r="L10" i="3"/>
  <c r="M7" i="3"/>
  <c r="M5" i="3"/>
  <c r="E4" i="3"/>
  <c r="L9" i="3"/>
  <c r="P6" i="5"/>
  <c r="N5" i="5"/>
  <c r="N4" i="5"/>
  <c r="E4" i="5"/>
  <c r="C5" i="5"/>
  <c r="N7" i="5"/>
  <c r="M6" i="5"/>
  <c r="P5" i="5"/>
  <c r="P4" i="5"/>
  <c r="C7" i="5"/>
  <c r="F5" i="5"/>
  <c r="T6" i="5"/>
  <c r="L4" i="5"/>
  <c r="F6" i="5"/>
  <c r="U5" i="5"/>
  <c r="J7" i="5"/>
  <c r="I6" i="5"/>
  <c r="I5" i="5"/>
  <c r="J4" i="5"/>
  <c r="H7" i="5"/>
  <c r="D6" i="5"/>
  <c r="S4" i="5"/>
  <c r="U4" i="5"/>
  <c r="S7" i="5"/>
  <c r="U6" i="5"/>
  <c r="T4" i="5"/>
  <c r="I7" i="5"/>
  <c r="J6" i="5"/>
  <c r="M5" i="5"/>
  <c r="M4" i="5"/>
  <c r="C6" i="5"/>
  <c r="D7" i="5"/>
  <c r="S5" i="5"/>
  <c r="J5" i="5"/>
  <c r="K4" i="5"/>
  <c r="H4" i="5"/>
  <c r="H5" i="5"/>
  <c r="F4" i="5"/>
  <c r="S6" i="5"/>
  <c r="L6" i="5"/>
  <c r="C4" i="5"/>
  <c r="D5" i="5"/>
  <c r="U7" i="5"/>
  <c r="L7" i="5"/>
  <c r="K6" i="5"/>
  <c r="L5" i="5"/>
  <c r="E7" i="5"/>
  <c r="F7" i="5"/>
  <c r="D4" i="5"/>
  <c r="T7" i="5"/>
  <c r="M7" i="5"/>
  <c r="N6" i="5"/>
  <c r="I4" i="5"/>
  <c r="E5" i="5"/>
  <c r="E6" i="5"/>
  <c r="H6" i="5"/>
  <c r="K7" i="5"/>
  <c r="T5" i="5"/>
  <c r="K5" i="5"/>
  <c r="Y7" i="1"/>
  <c r="BB7" i="1"/>
  <c r="V7" i="1"/>
  <c r="S7" i="1"/>
  <c r="T7" i="1"/>
  <c r="U7" i="1"/>
  <c r="F7" i="1"/>
  <c r="AB7" i="1"/>
  <c r="L7" i="1"/>
  <c r="AA7" i="1"/>
  <c r="BD7" i="1"/>
  <c r="H7" i="1"/>
  <c r="AK7" i="1"/>
  <c r="Z7" i="1"/>
  <c r="D7" i="1"/>
  <c r="G7" i="1"/>
  <c r="Y4" i="1"/>
  <c r="BD4" i="1"/>
  <c r="H5" i="1"/>
  <c r="T4" i="1"/>
  <c r="F4" i="1"/>
  <c r="G4" i="1"/>
  <c r="U5" i="1"/>
  <c r="T5" i="1"/>
  <c r="U4" i="1"/>
  <c r="BB5" i="1"/>
  <c r="AB5" i="1"/>
  <c r="S4" i="1"/>
  <c r="V5" i="1"/>
  <c r="Z4" i="1"/>
  <c r="D5" i="1"/>
  <c r="V4" i="1"/>
  <c r="AA5" i="1"/>
  <c r="Z5" i="1"/>
  <c r="H4" i="1"/>
  <c r="F5" i="1"/>
  <c r="L4" i="1"/>
  <c r="AB4" i="1"/>
  <c r="D4" i="1"/>
  <c r="S5" i="1"/>
  <c r="BD5" i="1"/>
  <c r="G5" i="1"/>
  <c r="L5" i="1"/>
  <c r="Y5" i="1"/>
  <c r="BB4" i="1"/>
  <c r="AA4" i="1"/>
  <c r="AK9" i="1"/>
  <c r="U9" i="1"/>
  <c r="Y9" i="1"/>
  <c r="G9" i="1"/>
  <c r="AB9" i="1"/>
  <c r="BD9" i="1"/>
  <c r="F9" i="1"/>
  <c r="S9" i="1"/>
  <c r="BB9" i="1"/>
  <c r="Z9" i="1"/>
  <c r="T9" i="1"/>
  <c r="L9" i="1"/>
  <c r="H9" i="1"/>
  <c r="AA9" i="1"/>
  <c r="V9" i="1"/>
  <c r="D9" i="1"/>
  <c r="I7" i="6"/>
  <c r="K6" i="6"/>
  <c r="L4" i="6"/>
  <c r="F6" i="6"/>
  <c r="G5" i="6"/>
  <c r="S5" i="6"/>
  <c r="R4" i="6"/>
  <c r="R7" i="6"/>
  <c r="T4" i="6"/>
  <c r="J6" i="6"/>
  <c r="M5" i="6"/>
  <c r="I4" i="6"/>
  <c r="H5" i="6"/>
  <c r="T5" i="6"/>
  <c r="O4" i="6"/>
  <c r="T7" i="6"/>
  <c r="J5" i="6"/>
  <c r="S6" i="6"/>
  <c r="M7" i="6"/>
  <c r="I5" i="6"/>
  <c r="J4" i="6"/>
  <c r="G7" i="6"/>
  <c r="S7" i="6"/>
  <c r="F7" i="6"/>
  <c r="L6" i="6"/>
  <c r="H4" i="6"/>
  <c r="M6" i="6"/>
  <c r="O5" i="6"/>
  <c r="S4" i="6"/>
  <c r="J7" i="6"/>
  <c r="F5" i="6"/>
  <c r="F4" i="6"/>
  <c r="L7" i="6"/>
  <c r="H6" i="6"/>
  <c r="K5" i="6"/>
  <c r="M4" i="6"/>
  <c r="G6" i="6"/>
  <c r="T6" i="6"/>
  <c r="L5" i="6"/>
  <c r="G4" i="6"/>
  <c r="R5" i="6"/>
  <c r="K7" i="6"/>
  <c r="I6" i="6"/>
  <c r="K4" i="6"/>
  <c r="H7" i="6"/>
  <c r="O6" i="6"/>
  <c r="R6" i="6"/>
  <c r="S6" i="1"/>
  <c r="G6" i="1"/>
  <c r="BB6" i="1"/>
  <c r="T6" i="1"/>
  <c r="Y6" i="1"/>
  <c r="F6" i="1"/>
  <c r="D6" i="1"/>
  <c r="BD6" i="1"/>
  <c r="L6" i="1"/>
  <c r="Z6" i="1"/>
  <c r="V8" i="1"/>
  <c r="U8" i="1"/>
  <c r="Z8" i="1"/>
  <c r="L8" i="1"/>
  <c r="D8" i="1"/>
  <c r="G8" i="1"/>
  <c r="BB8" i="1"/>
  <c r="AB8" i="1"/>
  <c r="AA8" i="1"/>
  <c r="AK8" i="1"/>
  <c r="F8" i="1"/>
  <c r="T8" i="1"/>
  <c r="H8" i="1"/>
  <c r="Y8" i="1"/>
  <c r="S8" i="1"/>
  <c r="BD8" i="1"/>
  <c r="G10" i="1"/>
  <c r="V10" i="1"/>
  <c r="T10" i="1"/>
  <c r="AK10" i="1"/>
  <c r="S10" i="1"/>
  <c r="H10" i="1"/>
  <c r="AA10" i="1"/>
  <c r="Z10" i="1"/>
  <c r="L10" i="1"/>
  <c r="BB10" i="1"/>
  <c r="AB10" i="1"/>
  <c r="BD10" i="1"/>
  <c r="F10" i="1"/>
  <c r="D10" i="1"/>
  <c r="U10" i="1"/>
  <c r="Y10" i="1"/>
  <c r="H6" i="2"/>
  <c r="M6" i="2"/>
  <c r="I6" i="2"/>
  <c r="G6" i="2"/>
  <c r="R6" i="2"/>
  <c r="C6" i="2"/>
  <c r="P6" i="2"/>
  <c r="E6" i="2"/>
  <c r="R4" i="2"/>
  <c r="C4" i="2"/>
  <c r="P4" i="2"/>
  <c r="M4" i="2"/>
  <c r="I4" i="2"/>
  <c r="G4" i="2"/>
  <c r="E4" i="2"/>
  <c r="H4" i="2"/>
  <c r="E7" i="2"/>
  <c r="G7" i="2"/>
  <c r="M10" i="2"/>
  <c r="P10" i="2"/>
  <c r="C7" i="2"/>
  <c r="E10" i="2"/>
  <c r="C10" i="2"/>
  <c r="H7" i="2"/>
  <c r="R7" i="2"/>
  <c r="I7" i="2"/>
  <c r="R10" i="2"/>
  <c r="M7" i="2"/>
  <c r="P7" i="2"/>
  <c r="E8" i="2"/>
  <c r="C8" i="2"/>
  <c r="R8" i="2"/>
  <c r="P8" i="2"/>
  <c r="M8" i="2"/>
  <c r="C5" i="2"/>
  <c r="H5" i="2"/>
  <c r="E5" i="2"/>
  <c r="M5" i="2"/>
  <c r="R5" i="2"/>
  <c r="P5" i="2"/>
  <c r="I5" i="2"/>
  <c r="G5" i="2"/>
  <c r="P9" i="2"/>
  <c r="E9" i="2"/>
  <c r="M9" i="2"/>
  <c r="C9" i="2"/>
  <c r="R9" i="2"/>
  <c r="P7" i="5"/>
  <c r="N5" i="6"/>
  <c r="V9" i="4"/>
  <c r="AZ4" i="1"/>
  <c r="C7" i="3"/>
  <c r="W6" i="4"/>
  <c r="W8" i="4"/>
  <c r="I7" i="3"/>
  <c r="AX6" i="1"/>
  <c r="AY9" i="1"/>
  <c r="I9" i="3"/>
  <c r="V5" i="4"/>
  <c r="AZ9" i="1"/>
  <c r="P6" i="6"/>
  <c r="V8" i="4"/>
  <c r="BA5" i="1"/>
  <c r="AN7" i="1"/>
  <c r="AX4" i="1"/>
  <c r="BA9" i="1"/>
  <c r="Q6" i="6"/>
  <c r="O9" i="2"/>
  <c r="BA10" i="1"/>
  <c r="W5" i="4"/>
  <c r="W10" i="4"/>
  <c r="P5" i="6"/>
  <c r="Q5" i="5"/>
  <c r="J7" i="3"/>
  <c r="I8" i="3"/>
  <c r="AY5" i="1"/>
  <c r="W9" i="4"/>
  <c r="J4" i="3"/>
  <c r="Q4" i="5"/>
  <c r="O7" i="5"/>
  <c r="N7" i="6"/>
  <c r="W7" i="4"/>
  <c r="AN5" i="1"/>
  <c r="AZ10" i="1"/>
  <c r="AY8" i="1"/>
  <c r="AN6" i="1"/>
  <c r="AX9" i="1"/>
  <c r="C4" i="3"/>
  <c r="I5" i="3"/>
  <c r="AO7" i="1"/>
  <c r="Q6" i="5"/>
  <c r="C6" i="3"/>
  <c r="N7" i="2"/>
  <c r="I4" i="3"/>
  <c r="O5" i="5"/>
  <c r="N6" i="6"/>
  <c r="O10" i="2"/>
  <c r="C8" i="3"/>
  <c r="I6" i="3"/>
  <c r="N8" i="2"/>
  <c r="V10" i="4"/>
  <c r="BA6" i="1"/>
  <c r="P7" i="6"/>
  <c r="O7" i="2"/>
  <c r="O6" i="5"/>
  <c r="AZ7" i="1"/>
  <c r="Q4" i="6"/>
  <c r="AX5" i="1"/>
  <c r="N6" i="2"/>
  <c r="J5" i="3"/>
  <c r="O4" i="5"/>
  <c r="V7" i="4"/>
  <c r="V4" i="4"/>
  <c r="AX8" i="1"/>
  <c r="J6" i="3"/>
  <c r="J10" i="3"/>
  <c r="N10" i="2"/>
  <c r="I10" i="3"/>
  <c r="R5" i="5"/>
  <c r="AN10" i="1"/>
  <c r="AO6" i="1"/>
  <c r="O8" i="2"/>
  <c r="N9" i="2"/>
  <c r="Q5" i="6"/>
  <c r="AY7" i="1"/>
  <c r="C10" i="3"/>
  <c r="AY4" i="1"/>
  <c r="N4" i="2"/>
  <c r="R4" i="5"/>
  <c r="BA8" i="1"/>
  <c r="AZ5" i="1"/>
  <c r="O7" i="6"/>
  <c r="C5" i="3"/>
  <c r="C9" i="3"/>
  <c r="N5" i="2"/>
  <c r="AZ8" i="1"/>
  <c r="AY10" i="1"/>
  <c r="Q7" i="5"/>
  <c r="W4" i="4"/>
  <c r="J8" i="3"/>
  <c r="R7" i="5"/>
  <c r="Q7" i="6"/>
  <c r="N4" i="6"/>
  <c r="BA7" i="1"/>
  <c r="AX7" i="1"/>
  <c r="BA4" i="1"/>
  <c r="O5" i="2"/>
  <c r="V6" i="4"/>
  <c r="AO5" i="1"/>
  <c r="AY6" i="1"/>
  <c r="AO10" i="1"/>
  <c r="P4" i="6"/>
  <c r="O4" i="2"/>
  <c r="O6" i="2"/>
  <c r="R6" i="5"/>
  <c r="AZ6" i="1"/>
  <c r="J9" i="3"/>
  <c r="AX10" i="1"/>
</calcChain>
</file>

<file path=xl/sharedStrings.xml><?xml version="1.0" encoding="utf-8"?>
<sst xmlns="http://schemas.openxmlformats.org/spreadsheetml/2006/main" count="212" uniqueCount="110">
  <si>
    <t>Symbol</t>
  </si>
  <si>
    <t>LastTradeDate</t>
  </si>
  <si>
    <t>LastTradeTime</t>
  </si>
  <si>
    <t>Last</t>
  </si>
  <si>
    <t>Change</t>
  </si>
  <si>
    <t>PercentChange</t>
  </si>
  <si>
    <t>Open</t>
  </si>
  <si>
    <t>High</t>
  </si>
  <si>
    <t>Low</t>
  </si>
  <si>
    <t>Volume</t>
  </si>
  <si>
    <t>DaysRange</t>
  </si>
  <si>
    <t>PrevClose</t>
  </si>
  <si>
    <t>ShortRatio</t>
  </si>
  <si>
    <t>YearHigh</t>
  </si>
  <si>
    <t>YearLow</t>
  </si>
  <si>
    <t>YearRange</t>
  </si>
  <si>
    <t>ChangeFromYearHigh</t>
  </si>
  <si>
    <t>ChangeFromYearLow</t>
  </si>
  <si>
    <t>PercentChangeFromYearHigh</t>
  </si>
  <si>
    <t>PercentChangeFromYearLow</t>
  </si>
  <si>
    <t>MA50</t>
  </si>
  <si>
    <t>MA200</t>
  </si>
  <si>
    <t>ChangeFromMA50</t>
  </si>
  <si>
    <t>ChangeFromMA200</t>
  </si>
  <si>
    <t>PercentChangeFromMA50</t>
  </si>
  <si>
    <t>PercentChangeFromMA200</t>
  </si>
  <si>
    <t>AverageDailyVolume</t>
  </si>
  <si>
    <t>OneYearTargetPrice</t>
  </si>
  <si>
    <t>PE</t>
  </si>
  <si>
    <t>PEG</t>
  </si>
  <si>
    <t>EPSEstCurrentYear</t>
  </si>
  <si>
    <t>EPSEstNextQuarter</t>
  </si>
  <si>
    <t>EPSEstNextYear</t>
  </si>
  <si>
    <t>EarningsShare</t>
  </si>
  <si>
    <t>MarketCap</t>
  </si>
  <si>
    <t>DividendYield</t>
  </si>
  <si>
    <t>DividendShare</t>
  </si>
  <si>
    <t>ExDividendDate</t>
  </si>
  <si>
    <t>DividendPayDate</t>
  </si>
  <si>
    <t>BookValue</t>
  </si>
  <si>
    <t>PriceBook</t>
  </si>
  <si>
    <t>PriceSales</t>
  </si>
  <si>
    <t>PriceEPSEstCurrentYear</t>
  </si>
  <si>
    <t>PriceEPSEstNextYear</t>
  </si>
  <si>
    <t>EBITDA</t>
  </si>
  <si>
    <t>CompanyName</t>
  </si>
  <si>
    <t>StockExchange</t>
  </si>
  <si>
    <t>Commission</t>
  </si>
  <si>
    <t>Notes</t>
  </si>
  <si>
    <t>rtd_LastError</t>
  </si>
  <si>
    <t>rtd_LastMessage</t>
  </si>
  <si>
    <t>rtd_LastUpdate</t>
  </si>
  <si>
    <t>rtd_LastUpdateDate</t>
  </si>
  <si>
    <t>rtd_LastUpdateTime</t>
  </si>
  <si>
    <t>AAPL</t>
  </si>
  <si>
    <t>LastTradeDateTime</t>
  </si>
  <si>
    <t>Sector</t>
  </si>
  <si>
    <t>Industry</t>
  </si>
  <si>
    <t>FullTimeEmployees</t>
  </si>
  <si>
    <t>TradeStart</t>
  </si>
  <si>
    <t>TradeEnd</t>
  </si>
  <si>
    <t>Date</t>
  </si>
  <si>
    <t>Close</t>
  </si>
  <si>
    <t>ChangeInPercent</t>
  </si>
  <si>
    <t>AdjClose</t>
  </si>
  <si>
    <t>AdjChange</t>
  </si>
  <si>
    <t>AdjChangeInPercent</t>
  </si>
  <si>
    <t>PrevDate</t>
  </si>
  <si>
    <t>PrevOpen</t>
  </si>
  <si>
    <t>PrevHigh</t>
  </si>
  <si>
    <t>PrevLow</t>
  </si>
  <si>
    <t>PrevAdjClose</t>
  </si>
  <si>
    <t>PrevVolume</t>
  </si>
  <si>
    <t>Code</t>
  </si>
  <si>
    <t>OptionCode</t>
  </si>
  <si>
    <t>OptionSymbol</t>
  </si>
  <si>
    <t>ExpDate</t>
  </si>
  <si>
    <t>Strike</t>
  </si>
  <si>
    <t>Type</t>
  </si>
  <si>
    <t>Mark</t>
  </si>
  <si>
    <t>Bid</t>
  </si>
  <si>
    <t>Ask</t>
  </si>
  <si>
    <t>OpenInt</t>
  </si>
  <si>
    <t>GOOG</t>
  </si>
  <si>
    <t>MSFT</t>
  </si>
  <si>
    <t>ORCL</t>
  </si>
  <si>
    <t>FB</t>
  </si>
  <si>
    <t>LNKD</t>
  </si>
  <si>
    <t>YHOO</t>
  </si>
  <si>
    <t>TradeDate</t>
  </si>
  <si>
    <t>CALL</t>
  </si>
  <si>
    <t>Jan17,15</t>
  </si>
  <si>
    <t>Jan15'16</t>
  </si>
  <si>
    <t>Calendar</t>
  </si>
  <si>
    <t>PUT</t>
  </si>
  <si>
    <t>LastTick</t>
  </si>
  <si>
    <r>
      <rPr>
        <sz val="11"/>
        <rFont val="Calibri"/>
        <family val="2"/>
        <charset val="204"/>
        <scheme val="minor"/>
      </rPr>
      <t xml:space="preserve">See additional examples at </t>
    </r>
    <r>
      <rPr>
        <u/>
        <sz val="11"/>
        <color theme="10"/>
        <rFont val="Calibri"/>
        <family val="2"/>
        <charset val="204"/>
        <scheme val="minor"/>
      </rPr>
      <t>www.SaveToDB.com</t>
    </r>
  </si>
  <si>
    <t>RealTimeToExcel 2.0 - Yahoo! Finance Data in Microsoft Excel</t>
  </si>
  <si>
    <t>This workbook shows how to get Yahoo! Finance data into Microsoft Excel using RealTimeToExcel.</t>
  </si>
  <si>
    <t>RealTimeToExcel 2.0 must be installed. It works in 32-bit and 64-bit Microsoft Excel 2007/2010/2013.</t>
  </si>
  <si>
    <t>You may easily add required stocks and options to existing data tables or create your owns.</t>
  </si>
  <si>
    <t>The CalendarModel sheet contains the model example updated in real-time.</t>
  </si>
  <si>
    <t>See RealTimeToExcel help for details.</t>
  </si>
  <si>
    <t>RealTimeToExcel also allows updating Excel data from databases.</t>
  </si>
  <si>
    <t>RealTimeToDB, a companion product, allows updating databases with data from RTD and DDE servers.</t>
  </si>
  <si>
    <t>Copyright © 2013-2014 Gartle Technology Corporation</t>
  </si>
  <si>
    <t>AAPL150117C00100000</t>
  </si>
  <si>
    <t>AAPL150117C00120000</t>
  </si>
  <si>
    <t>AAPL160115C00100000</t>
  </si>
  <si>
    <t>AAPL160115C00120000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</si>
</sst>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[Color10]\+0.00;[Red]\-0.00;0.00"/>
    <numFmt numFmtId="166" formatCode="[$-409]m/d/yy\ h:mm\ AM/PM;@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2">
    <xf numFmtId="0" fontId="0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14" fontId="0" fillId="0" borderId="0" xfId="0" applyNumberFormat="1"/>
    <xf numFmtId="164" fontId="0" fillId="0" borderId="0" xfId="0" applyNumberFormat="1"/>
    <xf numFmtId="2" fontId="0" fillId="0" borderId="0" xfId="0" applyNumberFormat="1"/>
    <xf numFmtId="0" fontId="0" fillId="0" borderId="0" xfId="0"/>
    <xf numFmtId="165" fontId="0" fillId="0" borderId="0" xfId="0" applyNumberFormat="1"/>
    <xf numFmtId="10" fontId="0" fillId="0" borderId="0" xfId="0" applyNumberFormat="1"/>
    <xf numFmtId="3" fontId="0" fillId="0" borderId="0" xfId="0" applyNumberFormat="1"/>
    <xf numFmtId="166" fontId="0" fillId="0" borderId="0" xfId="0" applyNumberFormat="1"/>
    <xf numFmtId="0" fontId="0" fillId="2" borderId="0" xfId="0" applyFill="1"/>
    <xf numFmtId="14" fontId="0" fillId="2" borderId="0" xfId="0" applyNumberFormat="1" applyFill="1"/>
    <xf numFmtId="0" fontId="4" fillId="0" borderId="0" xfId="1" applyFont="1"/>
    <xf numFmtId="0" fontId="1" fillId="0" borderId="0" xfId="2"/>
    <xf numFmtId="0" fontId="5" fillId="0" borderId="0" xfId="3"/>
    <xf numFmtId="0" fontId="3" fillId="0" borderId="0" xfId="1"/>
    <xf numFmtId="0" fontId="0" fillId="0" borderId="0" xfId="1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165" fontId="0" fillId="0" borderId="1" xfId="0" applyNumberFormat="1" applyFont="1" applyBorder="1"/>
  </cellXfs>
  <cellStyles count="12">
    <cellStyle name="Hyperlink" xfId="3" builtinId="8"/>
    <cellStyle name="Normal" xfId="0" builtinId="0"/>
    <cellStyle name="Normal 2" xfId="2"/>
    <cellStyle name="Normal 2 2" xfId="4"/>
    <cellStyle name="Normal 2 2 2" xfId="1"/>
    <cellStyle name="Normal 2 2 3" xfId="5"/>
    <cellStyle name="Normal 2 3" xfId="6"/>
    <cellStyle name="Normal 2 4" xfId="7"/>
    <cellStyle name="Normal 2 5" xfId="8"/>
    <cellStyle name="Normal 2 6" xfId="9"/>
    <cellStyle name="Normal 3" xfId="10"/>
    <cellStyle name="Обычный 2" xfId="11"/>
  </cellStyles>
  <dxfs count="182"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numFmt numFmtId="165" formatCode="[Color10]\+0.00;[Red]\-0.00;0.00"/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numFmt numFmtId="2" formatCode="0.00"/>
    </dxf>
    <dxf>
      <numFmt numFmtId="2" formatCode="0.00"/>
    </dxf>
    <dxf>
      <numFmt numFmtId="2" formatCode="0.00"/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numFmt numFmtId="164" formatCode="[$-F400]h:mm:ss\ AM/PM"/>
    </dxf>
    <dxf>
      <numFmt numFmtId="19" formatCode="m/d/yyyy"/>
    </dxf>
    <dxf>
      <numFmt numFmtId="166" formatCode="[$-409]m/d/yy\ h:mm\ AM/PM;@"/>
    </dxf>
    <dxf>
      <numFmt numFmtId="0" formatCode="General"/>
    </dxf>
    <dxf>
      <numFmt numFmtId="0" formatCode="General"/>
    </dxf>
    <dxf>
      <numFmt numFmtId="3" formatCode="#,##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5" formatCode="[Color10]\+0.00;[Red]\-0.00;0.00"/>
    </dxf>
    <dxf>
      <numFmt numFmtId="2" formatCode="0.00"/>
    </dxf>
    <dxf>
      <numFmt numFmtId="0" formatCode="General"/>
    </dxf>
    <dxf>
      <numFmt numFmtId="0" formatCode="General"/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numFmt numFmtId="19" formatCode="m/d/yyyy"/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numFmt numFmtId="164" formatCode="[$-F400]h:mm:ss\ AM/PM"/>
    </dxf>
    <dxf>
      <numFmt numFmtId="19" formatCode="m/d/yyyy"/>
    </dxf>
    <dxf>
      <numFmt numFmtId="166" formatCode="[$-409]m/d/yy\ h:mm\ AM/PM;@"/>
    </dxf>
    <dxf>
      <numFmt numFmtId="0" formatCode="General"/>
    </dxf>
    <dxf>
      <numFmt numFmtId="0" formatCode="General"/>
    </dxf>
    <dxf>
      <numFmt numFmtId="3" formatCode="#,##0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5" formatCode="[Color10]\+0.00;[Red]\-0.00;0.00"/>
    </dxf>
    <dxf>
      <numFmt numFmtId="2" formatCode="0.00"/>
    </dxf>
    <dxf>
      <numFmt numFmtId="0" formatCode="General"/>
    </dxf>
    <dxf>
      <numFmt numFmtId="0" formatCode="General"/>
    </dxf>
    <dxf>
      <numFmt numFmtId="19" formatCode="m/d/yyyy"/>
    </dxf>
    <dxf>
      <numFmt numFmtId="0" formatCode="General"/>
    </dxf>
    <dxf>
      <numFmt numFmtId="0" formatCode="General"/>
    </dxf>
    <dxf>
      <numFmt numFmtId="0" formatCode="General"/>
    </dxf>
    <dxf>
      <fill>
        <patternFill patternType="solid">
          <fgColor indexed="64"/>
          <bgColor theme="0" tint="-4.9989318521683403E-2"/>
        </patternFill>
      </fill>
    </dxf>
    <dxf>
      <numFmt numFmtId="164" formatCode="[$-F400]h:mm:ss\ AM/PM"/>
    </dxf>
    <dxf>
      <numFmt numFmtId="19" formatCode="m/d/yyyy"/>
    </dxf>
    <dxf>
      <numFmt numFmtId="166" formatCode="[$-409]m/d/yy\ h:mm\ AM/PM;@"/>
    </dxf>
    <dxf>
      <numFmt numFmtId="0" formatCode="General"/>
    </dxf>
    <dxf>
      <numFmt numFmtId="0" formatCode="General"/>
    </dxf>
    <dxf>
      <numFmt numFmtId="19" formatCode="m/d/yyyy"/>
    </dxf>
    <dxf>
      <numFmt numFmtId="19" formatCode="m/d/yyyy"/>
    </dxf>
    <dxf>
      <numFmt numFmtId="3" formatCode="#,##0"/>
    </dxf>
    <dxf>
      <numFmt numFmtId="0" formatCode="General"/>
    </dxf>
    <dxf>
      <numFmt numFmtId="0" formatCode="General"/>
    </dxf>
    <dxf>
      <numFmt numFmtId="0" formatCode="General"/>
    </dxf>
    <dxf>
      <fill>
        <patternFill patternType="solid">
          <fgColor indexed="64"/>
          <bgColor theme="0" tint="-4.9989318521683403E-2"/>
        </patternFill>
      </fill>
    </dxf>
    <dxf>
      <numFmt numFmtId="164" formatCode="[$-F400]h:mm:ss\ AM/PM"/>
    </dxf>
    <dxf>
      <numFmt numFmtId="19" formatCode="m/d/yyyy"/>
    </dxf>
    <dxf>
      <numFmt numFmtId="166" formatCode="[$-409]m/d/yy\ h:mm\ AM/PM;@"/>
    </dxf>
    <dxf>
      <numFmt numFmtId="0" formatCode="General"/>
    </dxf>
    <dxf>
      <numFmt numFmtId="0" formatCode="General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19" formatCode="m/d/yyyy"/>
    </dxf>
    <dxf>
      <numFmt numFmtId="3" formatCode="#,##0"/>
    </dxf>
    <dxf>
      <numFmt numFmtId="14" formatCode="0.00%"/>
    </dxf>
    <dxf>
      <numFmt numFmtId="165" formatCode="[Color10]\+0.00;[Red]\-0.00;0.00"/>
    </dxf>
    <dxf>
      <numFmt numFmtId="2" formatCode="0.00"/>
    </dxf>
    <dxf>
      <numFmt numFmtId="14" formatCode="0.00%"/>
    </dxf>
    <dxf>
      <numFmt numFmtId="165" formatCode="[Color10]\+0.00;[Red]\-0.00;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19" formatCode="m/d/yyyy"/>
    </dxf>
    <dxf>
      <numFmt numFmtId="19" formatCode="m/d/yyyy"/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numFmt numFmtId="164" formatCode="[$-F400]h:mm:ss\ AM/PM"/>
    </dxf>
    <dxf>
      <numFmt numFmtId="19" formatCode="m/d/yyyy"/>
    </dxf>
    <dxf>
      <numFmt numFmtId="166" formatCode="[$-409]m/d/yy\ h:mm\ AM/PM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3" formatCode="#,##0"/>
    </dxf>
    <dxf>
      <numFmt numFmtId="14" formatCode="0.00%"/>
    </dxf>
    <dxf>
      <numFmt numFmtId="14" formatCode="0.00%"/>
    </dxf>
    <dxf>
      <numFmt numFmtId="165" formatCode="[Color10]\+0.00;[Red]\-0.00;0.00"/>
    </dxf>
    <dxf>
      <numFmt numFmtId="165" formatCode="[Color10]\+0.00;[Red]\-0.00;0.00"/>
    </dxf>
    <dxf>
      <numFmt numFmtId="2" formatCode="0.00"/>
    </dxf>
    <dxf>
      <numFmt numFmtId="2" formatCode="0.00"/>
    </dxf>
    <dxf>
      <numFmt numFmtId="14" formatCode="0.00%"/>
    </dxf>
    <dxf>
      <numFmt numFmtId="14" formatCode="0.00%"/>
    </dxf>
    <dxf>
      <numFmt numFmtId="165" formatCode="[Color10]\+0.00;[Red]\-0.00;0.00"/>
    </dxf>
    <dxf>
      <numFmt numFmtId="165" formatCode="[Color10]\+0.00;[Red]\-0.00;0.00"/>
    </dxf>
    <dxf>
      <numFmt numFmtId="0" formatCode="General"/>
    </dxf>
    <dxf>
      <numFmt numFmtId="2" formatCode="0.00"/>
    </dxf>
    <dxf>
      <numFmt numFmtId="2" formatCode="0.00"/>
    </dxf>
    <dxf>
      <numFmt numFmtId="0" formatCode="General"/>
    </dxf>
    <dxf>
      <numFmt numFmtId="2" formatCode="0.00"/>
    </dxf>
    <dxf>
      <numFmt numFmtId="0" formatCode="General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2" formatCode="0.0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[$-F400]h:mm:ss\ AM/PM"/>
    </dxf>
    <dxf>
      <numFmt numFmtId="19" formatCode="m/d/yyyy"/>
    </dxf>
    <dxf>
      <fill>
        <patternFill patternType="solid">
          <fgColor indexed="64"/>
          <bgColor theme="0" tint="-4.9989318521683403E-2"/>
        </patternFill>
      </fill>
    </dxf>
    <dxf>
      <numFmt numFmtId="164" formatCode="[$-F400]h:mm:ss\ AM/PM"/>
    </dxf>
    <dxf>
      <numFmt numFmtId="19" formatCode="m/d/yyyy"/>
    </dxf>
    <dxf>
      <numFmt numFmtId="166" formatCode="[$-409]m/d/yy\ h:mm\ AM/PM;@"/>
    </dxf>
    <dxf>
      <numFmt numFmtId="0" formatCode="General"/>
    </dxf>
    <dxf>
      <numFmt numFmtId="0" formatCode="General"/>
    </dxf>
    <dxf>
      <numFmt numFmtId="3" formatCode="#,##0"/>
    </dxf>
    <dxf>
      <numFmt numFmtId="2" formatCode="0.00"/>
    </dxf>
    <dxf>
      <numFmt numFmtId="2" formatCode="0.00"/>
    </dxf>
    <dxf>
      <numFmt numFmtId="2" formatCode="0.00"/>
    </dxf>
    <dxf>
      <numFmt numFmtId="14" formatCode="0.00%"/>
    </dxf>
    <dxf>
      <numFmt numFmtId="165" formatCode="[Color10]\+0.00;[Red]\-0.00;0.00"/>
    </dxf>
    <dxf>
      <numFmt numFmtId="2" formatCode="0.00"/>
    </dxf>
    <dxf>
      <font>
        <sz val="10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[$-F400]h:mm:ss\ AM/PM"/>
    </dxf>
    <dxf>
      <numFmt numFmtId="19" formatCode="m/d/yyyy"/>
    </dxf>
    <dxf>
      <numFmt numFmtId="166" formatCode="[$-409]m/d/yy\ h:mm\ AM/PM;@"/>
    </dxf>
    <dxf>
      <fill>
        <patternFill patternType="solid">
          <fgColor indexed="64"/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volatileDependencies.xml><?xml version="1.0" encoding="utf-8"?>
<volTypes xmlns="http://schemas.openxmlformats.org/spreadsheetml/2006/main">
  <volType type="realTimeData">
    <main first="gartle.rtd">
      <tp t="s">
        <v/>
        <stp/>
        <stp>YahooFinanceStocks</stp>
        <stp>MSFT</stp>
        <stp>CompanyName</stp>
        <tr r="C8" s="3"/>
      </tp>
      <tp>
        <v>1</v>
        <stp/>
        <stp>YahooFinanceQuotes</stp>
        <stp>YHOO</stp>
        <stp>Last:tick</stp>
        <tr r="E10" s="1"/>
      </tp>
      <tp>
        <v>46.97</v>
        <stp/>
        <stp>YahooFinanceQuotes</stp>
        <stp>MSFT</stp>
        <stp>High</stp>
        <tr r="J8" s="1"/>
      </tp>
      <tp t="s">
        <v/>
        <stp/>
        <stp>YahooFinanceStocks</stp>
        <stp>ORCL</stp>
        <stp>CompanyName</stp>
        <tr r="C9" s="3"/>
      </tp>
      <tp>
        <v>25746</v>
        <stp/>
        <stp>YahooFinanceOptions</stp>
        <stp>AAPL</stp>
        <stp>42384</stp>
        <stp>120</stp>
        <stp>CALL</stp>
        <stp>OpenInt</stp>
        <tr r="O7" s="6"/>
      </tp>
      <tp>
        <v>9.6</v>
        <stp/>
        <stp>YahooFinanceOptions</stp>
        <stp>AAPL</stp>
        <stp>Jan15'16</stp>
        <stp>100</stp>
        <stp>PUT</stp>
        <stp>Mark</stp>
        <tr r="F6" s="7"/>
      </tp>
      <tp>
        <v>1.375</v>
        <stp/>
        <stp>YahooFinanceOptions</stp>
        <stp>AAPL</stp>
        <stp>Jan17,15</stp>
        <stp>100</stp>
        <stp>PUT</stp>
        <stp>Mark</stp>
        <tr r="E6" s="7"/>
      </tp>
      <tp>
        <v>558.23199999999997</v>
        <stp/>
        <stp>YahooFinanceQuotes</stp>
        <stp>GOOG</stp>
        <stp>Last</stp>
        <tr r="F6" s="1"/>
      </tp>
      <tp>
        <v>46.024999999999999</v>
        <stp/>
        <stp>YahooFinanceQuotes</stp>
        <stp>YHOO</stp>
        <stp>Last</stp>
        <tr r="F10" s="1"/>
      </tp>
      <tp t="s">
        <v>Yahoo! Inc.</v>
        <stp/>
        <stp>YahooFinanceQuotes</stp>
        <stp>YHOO</stp>
        <stp>Name</stp>
        <tr r="AV10" s="1"/>
      </tp>
      <tp>
        <v>-1.5296000000000001</v>
        <stp/>
        <stp>YahooFinanceQuotes</stp>
        <stp>ORCL</stp>
        <stp>ChangeFromTwoHundredDayMovingAverage</stp>
        <tr r="Z9" s="1"/>
      </tp>
      <tp t="s">
        <v>Google Inc.</v>
        <stp/>
        <stp>YahooFinanceQuotes</stp>
        <stp>GOOG</stp>
        <stp>Name</stp>
        <tr r="AV6" s="1"/>
      </tp>
      <tp>
        <v>38.825000000000003</v>
        <stp/>
        <stp>YahooFinanceQuotes</stp>
        <stp>ORCL</stp>
        <stp>Low</stp>
        <tr r="K9" s="1"/>
      </tp>
      <tp>
        <v>10.923</v>
        <stp/>
        <stp>YahooFinanceQuotes</stp>
        <stp>MSFT</stp>
        <stp>BookValue</stp>
        <tr r="AP8" s="1"/>
      </tp>
      <tp>
        <v>0.28000000000000003</v>
        <stp/>
        <stp>YahooFinanceQuotes</stp>
        <stp>YHOO</stp>
        <stp>EPSEstimateNextQuarter</stp>
        <tr r="AH10" s="1"/>
      </tp>
      <tp>
        <v>46.48</v>
        <stp/>
        <stp>YahooFinanceQuotes</stp>
        <stp>MSFT</stp>
        <stp>Low</stp>
        <tr r="K8" s="1"/>
      </tp>
      <tp>
        <v>108278</v>
        <stp/>
        <stp>YahooFinanceOptions</stp>
        <stp>AAPL</stp>
        <stp>42384</stp>
        <stp>100</stp>
        <stp>CALL</stp>
        <stp>OpenInt</stp>
        <tr r="O6" s="6"/>
      </tp>
      <tp>
        <v>13.98</v>
        <stp/>
        <stp>YahooFinanceQuotes</stp>
        <stp>AAPL</stp>
        <stp>PriceEPSEstimateCurrentYear</stp>
        <tr r="AS4" s="1"/>
      </tp>
      <tp>
        <v>1.21</v>
        <stp/>
        <stp>YahooFinanceQuotes</stp>
        <stp>YHOO</stp>
        <stp>EPSEstimateNextYear</stp>
        <tr r="AI10" s="1"/>
      </tp>
      <tp t="s">
        <v>632.5B</v>
        <stp/>
        <stp>YahooFinanceQuotes</stp>
        <stp>AAPL</stp>
        <stp>MarketCapitalization</stp>
        <tr r="AK4" s="1"/>
      </tp>
      <tp>
        <v>21.225000000000001</v>
        <stp/>
        <stp>YahooFinanceOptions</stp>
        <stp>AAPL</stp>
        <stp>Jan15'16</stp>
        <stp>120</stp>
        <stp>PUT</stp>
        <stp>Mark</stp>
        <tr r="F7" s="7"/>
      </tp>
      <tp>
        <v>-1</v>
        <stp/>
        <stp>YahooFinanceQuotes</stp>
        <stp>AAPL</stp>
        <stp>Last:tick</stp>
        <tr r="E4" s="1"/>
      </tp>
      <tp>
        <v>13.225000000000001</v>
        <stp/>
        <stp>YahooFinanceOptions</stp>
        <stp>AAPL</stp>
        <stp>Jan17,15</stp>
        <stp>120</stp>
        <stp>PUT</stp>
        <stp>Mark</stp>
        <tr r="E7" s="7"/>
      </tp>
      <tp>
        <v>1</v>
        <stp/>
        <stp>YahooFinanceQuotes</stp>
        <stp>ORCL</stp>
        <stp>Last:tick</stp>
        <tr r="E9" s="1"/>
      </tp>
      <tp>
        <v>1.92</v>
        <stp/>
        <stp>YahooFinanceQuotes</stp>
        <stp>FB</stp>
        <stp>EPSEstimateNextYear</stp>
        <tr r="AI5" s="1"/>
      </tp>
      <tp>
        <v>0.44900000000000001</v>
        <stp/>
        <stp>YahooFinanceWatchList</stp>
        <stp>ORCL</stp>
        <stp>Change</stp>
        <tr r="H9" s="2"/>
      </tp>
      <tp>
        <v>29.4</v>
        <stp/>
        <stp>YahooFinanceQuotes</stp>
        <stp>GOOG</stp>
        <stp>EPSEstimateNextYear</stp>
        <tr r="AI6" s="1"/>
      </tp>
      <tp>
        <v>41943.46291047454</v>
        <stp/>
        <stp>YahooFinanceStocks</stp>
        <stp>YHOO</stp>
        <stp>rtd_LastUpdate</stp>
        <tr r="K10" s="3"/>
      </tp>
      <tp>
        <v>74.98</v>
        <stp/>
        <stp>YahooFinanceWatchList</stp>
        <stp>FB</stp>
        <stp>Last</stp>
        <tr r="G5" s="2"/>
      </tp>
      <tp>
        <v>3.7040999999999999</v>
        <stp/>
        <stp>YahooFinanceQuotes</stp>
        <stp>MSFT</stp>
        <stp>ChangeFromTwoHundredDayMovingAverage</stp>
        <tr r="Z8" s="1"/>
      </tp>
      <tp>
        <v>-7.6999999999999999E-2</v>
        <stp/>
        <stp>YahooFinanceQuotes</stp>
        <stp>GOOG</stp>
        <stp>PercentChangeFromYearHigh</stp>
        <tr r="U6" s="1"/>
      </tp>
      <tp>
        <v>0.14429999999999998</v>
        <stp/>
        <stp>YahooFinanceQuotes</stp>
        <stp>AAPL</stp>
        <stp>PercentChangeFromTwoHundredDayMovingAverage</stp>
        <tr r="AB4" s="1"/>
      </tp>
      <tp>
        <v>2.75</v>
        <stp/>
        <stp>YahooFinanceQuotes</stp>
        <stp>LNKD</stp>
        <stp>EPSEstimateNextYear</stp>
        <tr r="AI7" s="1"/>
      </tp>
      <tp>
        <v>5758</v>
        <stp/>
        <stp>YahooFinanceStocks</stp>
        <stp>LNKD</stp>
        <stp>FullTimeEmployees</stp>
        <tr r="F7" s="3"/>
      </tp>
      <tp>
        <v>41943.66083479167</v>
        <stp/>
        <stp>YahooFinanceQuotes</stp>
        <stp>ORCL</stp>
        <stp>rtd_LastUpdate</stp>
        <tr r="BB9" s="1"/>
      </tp>
      <tp t="s">
        <v>554.75 - 559.57</v>
        <stp/>
        <stp>YahooFinanceQuotes</stp>
        <stp>GOOG</stp>
        <stp>DaysRange</stp>
        <tr r="M6" s="1"/>
      </tp>
      <tp t="s">
        <v>720.7M</v>
        <stp/>
        <stp>YahooFinanceQuotes</stp>
        <stp>YHOO</stp>
        <stp>EBITDA</stp>
        <tr r="AU10" s="1"/>
      </tp>
      <tp>
        <v>229.28</v>
        <stp/>
        <stp>YahooFinanceQuotes</stp>
        <stp>LNKD</stp>
        <stp>Last</stp>
        <tr r="F7" s="1"/>
      </tp>
      <tp t="s">
        <v>LinkedIn Corporat</v>
        <stp/>
        <stp>YahooFinanceQuotes</stp>
        <stp>LNKD</stp>
        <stp>Name</stp>
        <tr r="AV7" s="1"/>
      </tp>
      <tp>
        <v>39.020000000000003</v>
        <stp/>
        <stp>YahooFinanceQuotes</stp>
        <stp>ORCL</stp>
        <stp>High</stp>
        <tr r="J9" s="1"/>
      </tp>
      <tp t="e">
        <v>#N/A</v>
        <stp/>
        <stp>YahooFinanceStocks</stp>
        <stp>MSFT</stp>
        <stp>End</stp>
        <tr r="H8" s="3"/>
      </tp>
      <tp>
        <v>0.76</v>
        <stp/>
        <stp>YahooFinanceWatchList</stp>
        <stp>MSFT</stp>
        <stp>Change</stp>
        <tr r="H8" s="2"/>
      </tp>
      <tp>
        <v>41943.660917673609</v>
        <stp/>
        <stp>YahooFinanceQuotes</stp>
        <stp>LNKD</stp>
        <stp>rtd_LastUpdate</stp>
        <tr r="BB7" s="1"/>
      </tp>
      <tp>
        <v>51564</v>
        <stp/>
        <stp>YahooFinanceStocks</stp>
        <stp>GOOG</stp>
        <stp>FullTimeEmployees</stp>
        <tr r="F6" s="3"/>
      </tp>
      <tp t="s">
        <v>222.73 - 232.23</v>
        <stp/>
        <stp>YahooFinanceQuotes</stp>
        <stp>LNKD</stp>
        <stp>DaysRange</stp>
        <tr r="M7" s="1"/>
      </tp>
      <tp t="e">
        <v>#N/A</v>
        <stp/>
        <stp>YahooFinanceStocks</stp>
        <stp>ORCL</stp>
        <stp>End</stp>
        <tr r="H9" s="3"/>
      </tp>
      <tp>
        <v>26.42</v>
        <stp/>
        <stp>YahooFinanceWatchList</stp>
        <stp>LNKD</stp>
        <stp>Change</stp>
        <tr r="H7" s="2"/>
      </tp>
      <tp>
        <v>36797100</v>
        <stp/>
        <stp>YahooFinanceQuotes</stp>
        <stp>FB</stp>
        <stp>AverageDailyVolume</stp>
        <tr r="AC5" s="1"/>
      </tp>
      <tp>
        <v>4.22</v>
        <stp/>
        <stp>YahooFinanceQuotes</stp>
        <stp>MSFT</stp>
        <stp>PriceBook</stp>
        <tr r="AQ8" s="1"/>
      </tp>
      <tp>
        <v>41943.660793090276</v>
        <stp/>
        <stp>YahooFinanceQuotes</stp>
        <stp>MSFT</stp>
        <stp>rtd_LastUpdate</stp>
        <tr r="BB8" s="1"/>
      </tp>
      <tp>
        <v>-4.1399999999999999E-2</v>
        <stp/>
        <stp>YahooFinanceQuotes</stp>
        <stp>LNKD</stp>
        <stp>PercentChangeFromYearHigh</stp>
        <tr r="U7" s="1"/>
      </tp>
      <tp>
        <v>8.8000000000000007</v>
        <stp/>
        <stp>YahooFinanceOptions</stp>
        <stp>AAPL150117C00100000</stp>
        <stp>Ask</stp>
        <tr r="N4" s="5"/>
      </tp>
      <tp>
        <v>0.56999999999999995</v>
        <stp/>
        <stp>YahooFinanceOptions</stp>
        <stp>AAPL150117C00120000</stp>
        <stp>Ask</stp>
        <tr r="N5" s="5"/>
      </tp>
      <tp>
        <v>15.95</v>
        <stp/>
        <stp>YahooFinanceOptions</stp>
        <stp>AAPL160115C00100000</stp>
        <stp>Ask</stp>
        <tr r="N6" s="5"/>
      </tp>
      <tp>
        <v>7.55</v>
        <stp/>
        <stp>YahooFinanceOptions</stp>
        <stp>AAPL160115C00120000</stp>
        <stp>Ask</stp>
        <tr r="N7" s="5"/>
      </tp>
      <tp t="s">
        <v>AAPL</v>
        <stp/>
        <stp>YahooFinanceOptions</stp>
        <stp>AAPL160115C00120000</stp>
        <stp>OptionSymbol</stp>
        <tr r="E7" s="5"/>
      </tp>
      <tp t="s">
        <v>AAPL</v>
        <stp/>
        <stp>YahooFinanceOptions</stp>
        <stp>AAPL160115C00100000</stp>
        <stp>OptionSymbol</stp>
        <tr r="E6" s="5"/>
      </tp>
      <tp>
        <v>1</v>
        <stp/>
        <stp>YahooFinanceQuotes</stp>
        <stp>GOOG</stp>
        <stp>Last:tick</stp>
        <tr r="E6" s="1"/>
      </tp>
      <tp t="s">
        <v>Microsoft Corpora</v>
        <stp/>
        <stp>YahooFinanceQuotes</stp>
        <stp>MSFT</stp>
        <stp>Name</stp>
        <tr r="AV8" s="1"/>
      </tp>
      <tp>
        <v>46.81</v>
        <stp/>
        <stp>YahooFinanceQuotes</stp>
        <stp>MSFT</stp>
        <stp>Last</stp>
        <tr r="F8" s="1"/>
      </tp>
      <tp>
        <v>0.11990000000000001</v>
        <stp/>
        <stp>YahooFinanceQuotes</stp>
        <stp>YHOO</stp>
        <stp>PercentChangeFromFiftyDayMovingAverage</stp>
        <tr r="AA10" s="1"/>
      </tp>
      <tp>
        <v>231977</v>
        <stp/>
        <stp>YahooFinanceOptions</stp>
        <stp>AAPL</stp>
        <stp>42021</stp>
        <stp>100</stp>
        <stp>CALL</stp>
        <stp>OpenInt</stp>
        <tr r="O4" s="6"/>
      </tp>
      <tp>
        <v>14429852</v>
        <stp/>
        <stp>YahooFinanceWatchList</stp>
        <stp>YHOO</stp>
        <stp>Volume</stp>
        <tr r="M10" s="2"/>
      </tp>
      <tp t="s">
        <v>AAPL</v>
        <stp/>
        <stp>YahooFinanceOptions</stp>
        <stp>AAPL150117C00120000</stp>
        <stp>OptionSymbol</stp>
        <tr r="E5" s="5"/>
      </tp>
      <tp t="s">
        <v>AAPL</v>
        <stp/>
        <stp>YahooFinanceOptions</stp>
        <stp>AAPL150117C00100000</stp>
        <stp>OptionSymbol</stp>
        <tr r="E4" s="5"/>
      </tp>
      <tp>
        <v>44.67</v>
        <stp/>
        <stp>YahooFinanceQuotes</stp>
        <stp>LNKD</stp>
        <stp>ChangeFromTwoHundredDayMovingAverage</stp>
        <tr r="Z7" s="1"/>
      </tp>
      <tp>
        <v>559.57000000000005</v>
        <stp/>
        <stp>YahooFinanceQuotes</stp>
        <stp>GOOG</stp>
        <stp>High</stp>
        <tr r="J6" s="1"/>
      </tp>
      <tp>
        <v>46.52</v>
        <stp/>
        <stp>YahooFinanceQuotes</stp>
        <stp>YHOO</stp>
        <stp>High</stp>
        <tr r="J10" s="1"/>
      </tp>
      <tp>
        <v>0.87</v>
        <stp/>
        <stp>YahooFinanceWatchList</stp>
        <stp>AAPL</stp>
        <stp>Change</stp>
        <tr r="H4" s="2"/>
      </tp>
      <tp>
        <v>0.24199999999999999</v>
        <stp/>
        <stp>YahooFinanceQuotes</stp>
        <stp>LNKD</stp>
        <stp>PercentChangeFromTwoHundredDayMovingAverage</stp>
        <tr r="AB7" s="1"/>
      </tp>
      <tp>
        <v>8.4600000000000009</v>
        <stp/>
        <stp>YahooFinanceQuotes</stp>
        <stp>AAPL</stp>
        <stp>EPSEstimateNextYear</stp>
        <tr r="AI4" s="1"/>
      </tp>
      <tp>
        <v>28.34</v>
        <stp/>
        <stp>YahooFinanceQuotes</stp>
        <stp>YHOO</stp>
        <stp>PriceEPSEstimateCurrentYear</stp>
        <tr r="AS10" s="1"/>
      </tp>
      <tp>
        <v>-1.75</v>
        <stp/>
        <stp>YahooFinanceHistoricalData</stp>
        <stp>FB</stp>
        <stp/>
        <stp>Change</stp>
        <tr r="I5" s="4"/>
      </tp>
      <tp>
        <v>-3.7000000000000002E-3</v>
        <stp/>
        <stp>YahooFinanceQuotes</stp>
        <stp>GOOG</stp>
        <stp>PercentChangeFromTwoHundredDayMovingAverage</stp>
        <tr r="AB6" s="1"/>
      </tp>
      <tp>
        <v>36923</v>
        <stp/>
        <stp>YahooFinanceOptions</stp>
        <stp>AAPL</stp>
        <stp>42021</stp>
        <stp>120</stp>
        <stp>CALL</stp>
        <stp>OpenInt</stp>
        <tr r="O5" s="6"/>
      </tp>
      <tp>
        <v>0.56000000000000005</v>
        <stp/>
        <stp>YahooFinanceOptions</stp>
        <stp>AAPL150117C00120000</stp>
        <stp>Bid</stp>
        <tr r="M5" s="5"/>
      </tp>
      <tp>
        <v>8.6999999999999993</v>
        <stp/>
        <stp>YahooFinanceOptions</stp>
        <stp>AAPL150117C00100000</stp>
        <stp>Bid</stp>
        <tr r="M4" s="5"/>
      </tp>
      <tp>
        <v>7.45</v>
        <stp/>
        <stp>YahooFinanceOptions</stp>
        <stp>AAPL160115C00120000</stp>
        <stp>Bid</stp>
        <tr r="M7" s="5"/>
      </tp>
      <tp>
        <v>15.75</v>
        <stp/>
        <stp>YahooFinanceOptions</stp>
        <stp>AAPL160115C00100000</stp>
        <stp>Bid</stp>
        <tr r="M6" s="5"/>
      </tp>
      <tp>
        <v>8.0199999999999994E-2</v>
        <stp/>
        <stp>YahooFinanceQuotes</stp>
        <stp>FB</stp>
        <stp>PercentChangeFromTwoHundredDayMovingAverage</stp>
        <tr r="AB5" s="1"/>
      </tp>
      <tp>
        <v>0.87</v>
        <stp/>
        <stp>YahooFinanceWatchList</stp>
        <stp>FB</stp>
        <stp>Change</stp>
        <tr r="H5" s="2"/>
      </tp>
      <tp>
        <v>41943.660889317129</v>
        <stp/>
        <stp>YahooFinanceQuotes</stp>
        <stp>AAPL</stp>
        <stp>rtd_LastUpdate</stp>
        <tr r="BB4" s="1"/>
      </tp>
      <tp>
        <v>-1</v>
        <stp/>
        <stp>YahooFinanceQuotes</stp>
        <stp>LNKD</stp>
        <stp>Last:tick</stp>
        <tr r="E7" s="1"/>
      </tp>
      <tp>
        <v>7.92</v>
        <stp/>
        <stp>YahooFinanceWatchList</stp>
        <stp>GOOG</stp>
        <stp>Change</stp>
        <tr r="H6" s="2"/>
      </tp>
      <tp>
        <v>0.2404</v>
        <stp/>
        <stp>YahooFinanceQuotes</stp>
        <stp>YHOO</stp>
        <stp>PercentChangeFromTwoHundredDayMovingAverage</stp>
        <tr r="AB10" s="1"/>
      </tp>
      <tp>
        <v>42384</v>
        <stp/>
        <stp>YahooFinanceOptions</stp>
        <stp>AAPL160115C00120000</stp>
        <stp>Exp</stp>
        <tr r="F7" s="5"/>
      </tp>
      <tp>
        <v>42384</v>
        <stp/>
        <stp>YahooFinanceOptions</stp>
        <stp>AAPL160115C00100000</stp>
        <stp>Exp</stp>
        <tr r="F6" s="5"/>
      </tp>
      <tp>
        <v>42021</v>
        <stp/>
        <stp>YahooFinanceOptions</stp>
        <stp>AAPL150117C00120000</stp>
        <stp>Exp</stp>
        <tr r="F5" s="5"/>
      </tp>
      <tp>
        <v>42021</v>
        <stp/>
        <stp>YahooFinanceOptions</stp>
        <stp>AAPL150117C00100000</stp>
        <stp>Exp</stp>
        <tr r="F4" s="5"/>
      </tp>
      <tp>
        <v>108.5</v>
        <stp/>
        <stp>YahooFinanceQuotes</stp>
        <stp>LNKD</stp>
        <stp>PriceEPSEstimateCurrentYear</stp>
        <tr r="AS7" s="1"/>
      </tp>
      <tp>
        <v>75.7</v>
        <stp/>
        <stp>YahooFinanceWatchList</stp>
        <stp>FB</stp>
        <stp>High</stp>
        <tr r="K5" s="2"/>
      </tp>
      <tp>
        <v>-2.7000000000000001E-3</v>
        <stp/>
        <stp>YahooFinanceQuotes</stp>
        <stp>YHOO</stp>
        <stp>PercentChangeFromYearHigh</stp>
        <tr r="U10" s="1"/>
      </tp>
      <tp>
        <v>41943.638318240737</v>
        <stp/>
        <stp>YahooFinanceHistoricalData</stp>
        <stp>ORCL</stp>
        <stp/>
        <stp>rtd_LastUpdate</stp>
        <tr r="X9" s="4"/>
      </tp>
      <tp t="s">
        <v>CALL</v>
        <stp/>
        <stp>YahooFinanceOptions</stp>
        <stp>AAPL150117C00120000</stp>
        <stp>Type</stp>
        <tr r="H5" s="5"/>
      </tp>
      <tp t="s">
        <v>CALL</v>
        <stp/>
        <stp>YahooFinanceOptions</stp>
        <stp>AAPL150117C00100000</stp>
        <stp>Type</stp>
        <tr r="H4" s="5"/>
      </tp>
      <tp>
        <v>44.11</v>
        <stp/>
        <stp>YahooFinanceQuotes</stp>
        <stp>FB</stp>
        <stp>PriceEPSEstimateCurrentYear</stp>
        <tr r="AS5" s="1"/>
      </tp>
      <tp>
        <v>21.45</v>
        <stp/>
        <stp>YahooFinanceQuotes</stp>
        <stp>GOOG</stp>
        <stp>PriceEPSEstimateCurrentYear</stp>
        <tr r="AS6" s="1"/>
      </tp>
      <tp>
        <v>122000</v>
        <stp/>
        <stp>YahooFinanceStocks</stp>
        <stp>ORCL</stp>
        <stp>FullTimeEmployees</stp>
        <tr r="F9" s="3"/>
      </tp>
      <tp>
        <v>92600</v>
        <stp/>
        <stp>YahooFinanceStocks</stp>
        <stp>AAPL</stp>
        <stp>FullTimeEmployees</stp>
        <tr r="F4" s="3"/>
      </tp>
      <tp t="s">
        <v>45.67 - 46.52</v>
        <stp/>
        <stp>YahooFinanceQuotes</stp>
        <stp>YHOO</stp>
        <stp>DaysRange</stp>
        <tr r="M10" s="1"/>
      </tp>
      <tp>
        <v>41943.660798865742</v>
        <stp/>
        <stp>YahooFinanceQuotes</stp>
        <stp>GOOG</stp>
        <stp>rtd_LastUpdate</stp>
        <tr r="BB6" s="1"/>
      </tp>
      <tp>
        <v>41943.638334317133</v>
        <stp/>
        <stp>YahooFinanceHistoricalData</stp>
        <stp>MSFT</stp>
        <stp/>
        <stp>rtd_LastUpdate</stp>
        <tr r="X8" s="4"/>
      </tp>
      <tp t="s">
        <v>CALL</v>
        <stp/>
        <stp>YahooFinanceOptions</stp>
        <stp>AAPL160115C00120000</stp>
        <stp>Type</stp>
        <tr r="H7" s="5"/>
      </tp>
      <tp t="s">
        <v>CALL</v>
        <stp/>
        <stp>YahooFinanceOptions</stp>
        <stp>AAPL160115C00100000</stp>
        <stp>Type</stp>
        <tr r="H6" s="5"/>
      </tp>
      <tp>
        <v>38.935000000000002</v>
        <stp/>
        <stp>YahooFinanceQuotes</stp>
        <stp>ORCL</stp>
        <stp>Last</stp>
        <tr r="F9" s="1"/>
      </tp>
      <tp>
        <v>-2.077</v>
        <stp/>
        <stp>YahooFinanceQuotes</stp>
        <stp>GOOG</stp>
        <stp>ChangeFromTwoHundredDayMovingAverage</stp>
        <tr r="Z6" s="1"/>
      </tp>
      <tp t="s">
        <v>Oracle Corporatio</v>
        <stp/>
        <stp>YahooFinanceQuotes</stp>
        <stp>ORCL</stp>
        <stp>Name</stp>
        <tr r="AV9" s="1"/>
      </tp>
      <tp>
        <v>232.23</v>
        <stp/>
        <stp>YahooFinanceQuotes</stp>
        <stp>LNKD</stp>
        <stp>High</stp>
        <tr r="J7" s="1"/>
      </tp>
      <tp>
        <v>8.9199000000000002</v>
        <stp/>
        <stp>YahooFinanceQuotes</stp>
        <stp>YHOO</stp>
        <stp>ChangeFromTwoHundredDayMovingAverage</stp>
        <tr r="Z10" s="1"/>
      </tp>
      <tp>
        <v>72.900000000000006</v>
        <stp/>
        <stp>YahooFinanceHistoricalData</stp>
        <stp>FB</stp>
        <stp/>
        <stp>Low</stp>
        <tr r="G5" s="4"/>
      </tp>
      <tp>
        <v>12200</v>
        <stp/>
        <stp>YahooFinanceStocks</stp>
        <stp>YHOO</stp>
        <stp>FullTimeEmployees</stp>
        <tr r="F10" s="3"/>
      </tp>
      <tp t="s">
        <v>107.21 - 108.04</v>
        <stp/>
        <stp>YahooFinanceQuotes</stp>
        <stp>AAPL</stp>
        <stp>DaysRange</stp>
        <tr r="M4" s="1"/>
      </tp>
      <tp t="s">
        <v>38.825 - 39.02</v>
        <stp/>
        <stp>YahooFinanceQuotes</stp>
        <stp>ORCL</stp>
        <stp>DaysRange</stp>
        <tr r="M9" s="1"/>
      </tp>
      <tp t="s">
        <v>34.63 - 47.57</v>
        <stp/>
        <stp>YahooFinanceQuotes</stp>
        <stp>MSFT</stp>
        <stp>YearRange</stp>
        <tr r="R8" s="1"/>
      </tp>
      <tp>
        <v>76.956900000000005</v>
        <stp/>
        <stp>YahooFinanceQuotes</stp>
        <stp>FB</stp>
        <stp>FiftydayMovingAverage</stp>
        <tr r="W5" s="1"/>
      </tp>
      <tp>
        <v>1348</v>
        <stp/>
        <stp>YahooFinanceOptions</stp>
        <stp>AAPL160115C00120000</stp>
        <stp>Volume</stp>
        <tr r="O7" s="5"/>
      </tp>
      <tp>
        <v>849</v>
        <stp/>
        <stp>YahooFinanceOptions</stp>
        <stp>AAPL160115C00100000</stp>
        <stp>Volume</stp>
        <tr r="O6" s="5"/>
      </tp>
      <tp>
        <v>1588</v>
        <stp/>
        <stp>YahooFinanceOptions</stp>
        <stp>AAPL150117C00120000</stp>
        <stp>Volume</stp>
        <tr r="O5" s="5"/>
      </tp>
      <tp>
        <v>19599</v>
        <stp/>
        <stp>YahooFinanceOptions</stp>
        <stp>AAPL150117C00100000</stp>
        <stp>Volume</stp>
        <tr r="O4" s="5"/>
      </tp>
      <tp>
        <v>-9.849999999999999E-2</v>
        <stp/>
        <stp>YahooFinanceQuotes</stp>
        <stp>ORCL</stp>
        <stp>PercentChangeFromYearHigh</stp>
        <tr r="U9" s="1"/>
      </tp>
      <tp>
        <v>4.4000000000000003E-3</v>
        <stp/>
        <stp>YahooFinanceQuotes</stp>
        <stp>AAPL</stp>
        <stp>PercentChangeFromYearHigh</stp>
        <tr r="U4" s="1"/>
      </tp>
      <tp>
        <v>108.04</v>
        <stp/>
        <stp>YahooFinanceQuotes</stp>
        <stp>AAPL</stp>
        <stp>Open</stp>
        <tr r="I4" s="1"/>
      </tp>
      <tp t="s">
        <v/>
        <stp/>
        <stp>YahooFinanceStocks</stp>
        <stp>FB</stp>
        <stp>CompanyName</stp>
        <tr r="C5" s="3"/>
      </tp>
      <tp>
        <v>12.62</v>
        <stp/>
        <stp>YahooFinanceQuotes</stp>
        <stp>ORCL</stp>
        <stp>PriceEPSEstimateCurrentYear</stp>
        <tr r="AS9" s="1"/>
      </tp>
      <tp>
        <v>38359096</v>
        <stp/>
        <stp>YahooFinanceWatchList</stp>
        <stp>FB</stp>
        <stp>Volume</stp>
        <tr r="M5" s="2"/>
      </tp>
      <tp t="s">
        <v>172.5B</v>
        <stp/>
        <stp>YahooFinanceQuotes</stp>
        <stp>ORCL</stp>
        <stp>MarketCapitalization</stp>
        <tr r="AK9" s="1"/>
      </tp>
      <tp t="s">
        <v>196.4M</v>
        <stp/>
        <stp>YahooFinanceQuotes</stp>
        <stp>LNKD</stp>
        <stp>EBITDA</stp>
        <tr r="AU7" s="1"/>
      </tp>
      <tp>
        <v>41943.462874004632</v>
        <stp/>
        <stp>YahooFinanceStocks</stp>
        <stp>MSFT</stp>
        <stp>rtd_LastUpdate</stp>
        <tr r="K8" s="3"/>
      </tp>
      <tp>
        <v>41943.638349479166</v>
        <stp/>
        <stp>YahooFinanceHistoricalData</stp>
        <stp>LNKD</stp>
        <stp/>
        <stp>rtd_LastUpdate</stp>
        <tr r="X7" s="4"/>
      </tp>
      <tp>
        <v>559.57000000000005</v>
        <stp/>
        <stp>YahooFinanceQuotes</stp>
        <stp>GOOG</stp>
        <stp>Open</stp>
        <tr r="I6" s="1"/>
      </tp>
      <tp>
        <v>6.4899999999999999E-2</v>
        <stp/>
        <stp>YahooFinanceQuotes</stp>
        <stp>AAPL</stp>
        <stp>PercentChangeFromFiftyDayMovingAverage</stp>
        <tr r="AA4" s="1"/>
      </tp>
      <tp>
        <v>46.2</v>
        <stp/>
        <stp>YahooFinanceQuotes</stp>
        <stp>YHOO</stp>
        <stp>Open</stp>
        <tr r="I10" s="1"/>
      </tp>
      <tp>
        <v>107.21</v>
        <stp/>
        <stp>YahooFinanceQuotes</stp>
        <stp>AAPL</stp>
        <stp>Low</stp>
        <tr r="K4" s="1"/>
      </tp>
      <tp>
        <v>33239282</v>
        <stp/>
        <stp>YahooFinanceWatchList</stp>
        <stp>AAPL</stp>
        <stp>Volume</stp>
        <tr r="M4" s="2"/>
      </tp>
      <tp>
        <v>17.18</v>
        <stp/>
        <stp>YahooFinanceQuotes</stp>
        <stp>MSFT</stp>
        <stp>PriceEPSEstimateCurrentYear</stp>
        <tr r="AS8" s="1"/>
      </tp>
      <tp>
        <v>41943.46292726852</v>
        <stp/>
        <stp>YahooFinanceStocks</stp>
        <stp>LNKD</stp>
        <stp>rtd_LastUpdate</stp>
        <tr r="K7" s="3"/>
      </tp>
      <tp t="s">
        <v>33.261B</v>
        <stp/>
        <stp>YahooFinanceQuotes</stp>
        <stp>MSFT</stp>
        <stp>EBITDA</stp>
        <tr r="AU8" s="1"/>
      </tp>
      <tp>
        <v>145.685</v>
        <stp/>
        <stp>YahooFinanceQuotes</stp>
        <stp>GOOG</stp>
        <stp>BookValue</stp>
        <tr r="AP6" s="1"/>
      </tp>
      <tp>
        <v>41943.638364282408</v>
        <stp/>
        <stp>YahooFinanceHistoricalData</stp>
        <stp>GOOG</stp>
        <stp/>
        <stp>rtd_LastUpdate</stp>
        <tr r="X6" s="4"/>
      </tp>
      <tp>
        <v>83154900</v>
        <stp/>
        <stp>YahooFinanceHistoricalData</stp>
        <stp>FB</stp>
        <stp/>
        <stp>Volume</stp>
        <tr r="N5" s="4"/>
      </tp>
      <tp>
        <v>0.39</v>
        <stp/>
        <stp>YahooFinanceWatchList</stp>
        <stp>YHOO</stp>
        <stp>Change</stp>
        <tr r="H10" s="2"/>
      </tp>
      <tp t="s">
        <v/>
        <stp/>
        <stp>YahooFinanceStocks</stp>
        <stp>AAPL</stp>
        <stp>CompanyName</stp>
        <tr r="C4" s="3"/>
      </tp>
      <tp>
        <v>23.45</v>
        <stp/>
        <stp>YahooFinanceQuotes</stp>
        <stp>LNKD</stp>
        <stp>BookValue</stp>
        <tr r="AP7" s="1"/>
      </tp>
      <tp>
        <v>41943.462893148149</v>
        <stp/>
        <stp>YahooFinanceStocks</stp>
        <stp>ORCL</stp>
        <stp>rtd_LastUpdate</stp>
        <tr r="K9" s="3"/>
      </tp>
      <tp>
        <v>13.598699999999999</v>
        <stp/>
        <stp>YahooFinanceQuotes</stp>
        <stp>AAPL</stp>
        <stp>ChangeFromTwoHundredDayMovingAverage</stp>
        <tr r="Z4" s="1"/>
      </tp>
      <tp>
        <v>41943.660757337966</v>
        <stp/>
        <stp>YahooFinanceQuotes</stp>
        <stp>YHOO</stp>
        <stp>rtd_LastUpdate</stp>
        <tr r="BB10" s="1"/>
      </tp>
      <tp t="s">
        <v>16.826B</v>
        <stp/>
        <stp>YahooFinanceQuotes</stp>
        <stp>ORCL</stp>
        <stp>EBITDA</stp>
        <tr r="AU9" s="1"/>
      </tp>
      <tp>
        <v>100</v>
        <stp/>
        <stp>YahooFinanceOptions</stp>
        <stp>AAPL150117C00100000</stp>
        <stp>Strike</stp>
        <tr r="G4" s="5"/>
      </tp>
      <tp>
        <v>120</v>
        <stp/>
        <stp>YahooFinanceOptions</stp>
        <stp>AAPL150117C00120000</stp>
        <stp>Strike</stp>
        <tr r="G5" s="5"/>
      </tp>
      <tp>
        <v>100</v>
        <stp/>
        <stp>YahooFinanceOptions</stp>
        <stp>AAPL160115C00100000</stp>
        <stp>Strike</stp>
        <tr r="G6" s="5"/>
      </tp>
      <tp>
        <v>120</v>
        <stp/>
        <stp>YahooFinanceOptions</stp>
        <stp>AAPL160115C00120000</stp>
        <stp>Strike</stp>
        <tr r="G7" s="5"/>
      </tp>
      <tp>
        <v>2.3225806451612901E-2</v>
        <stp/>
        <stp>YahooFinanceOptions</stp>
        <stp>AAPL</stp>
        <stp>42384</stp>
        <stp>100</stp>
        <stp>CALL</stp>
        <stp>ChangeInPercent</stp>
        <tr r="J6" s="6"/>
      </tp>
      <tp t="e">
        <v>#N/A</v>
        <stp/>
        <stp>YahooFinanceStocks</stp>
        <stp>AAPL</stp>
        <stp>End</stp>
        <tr r="H4" s="3"/>
      </tp>
      <tp t="s">
        <v>AAPL150117C00120000</v>
        <stp/>
        <stp>YahooFinanceOptions</stp>
        <stp>AAPL</stp>
        <stp>42021</stp>
        <stp>120</stp>
        <stp>CALL</stp>
        <stp>OptionCode</stp>
        <tr r="F5" s="6"/>
      </tp>
      <tp t="s">
        <v>AAPL150117C00100000</v>
        <stp/>
        <stp>YahooFinanceOptions</stp>
        <stp>AAPL</stp>
        <stp>42021</stp>
        <stp>100</stp>
        <stp>CALL</stp>
        <stp>OptionCode</stp>
        <tr r="F4" s="6"/>
      </tp>
      <tp>
        <v>3.78</v>
        <stp/>
        <stp>YahooFinanceQuotes</stp>
        <stp>GOOG</stp>
        <stp>PriceBook</stp>
        <tr r="AQ6" s="1"/>
      </tp>
      <tp>
        <v>8.75</v>
        <stp/>
        <stp>YahooFinanceOptions</stp>
        <stp>AAPL150117C00100000</stp>
        <stp>Mark</stp>
        <tr r="L4" s="5"/>
      </tp>
      <tp>
        <v>8.75</v>
        <stp/>
        <stp>YahooFinanceOptions</stp>
        <stp>AAPL150117C00100000</stp>
        <stp>Last</stp>
        <tr r="I4" s="5"/>
      </tp>
      <tp>
        <v>0.56499999999999995</v>
        <stp/>
        <stp>YahooFinanceOptions</stp>
        <stp>AAPL150117C00120000</stp>
        <stp>Mark</stp>
        <tr r="L5" s="5"/>
      </tp>
      <tp>
        <v>0.56000000000000005</v>
        <stp/>
        <stp>YahooFinanceOptions</stp>
        <stp>AAPL150117C00120000</stp>
        <stp>Last</stp>
        <tr r="I5" s="5"/>
      </tp>
      <tp>
        <v>0.73</v>
        <stp/>
        <stp>YahooFinanceQuotes</stp>
        <stp>ORCL</stp>
        <stp>EPSEstimateNextQuarter</stp>
        <tr r="AH9" s="1"/>
      </tp>
      <tp>
        <v>0.02</v>
        <stp/>
        <stp>YahooFinanceOptions</stp>
        <stp>AAPL150117C00120000</stp>
        <stp>Change</stp>
        <tr r="J5" s="5"/>
      </tp>
      <tp>
        <v>0.5</v>
        <stp/>
        <stp>YahooFinanceOptions</stp>
        <stp>AAPL150117C00100000</stp>
        <stp>Change</stp>
        <tr r="J4" s="5"/>
      </tp>
      <tp>
        <v>0.31</v>
        <stp/>
        <stp>YahooFinanceOptions</stp>
        <stp>AAPL160115C00120000</stp>
        <stp>Change</stp>
        <tr r="J7" s="5"/>
      </tp>
      <tp>
        <v>0.36</v>
        <stp/>
        <stp>YahooFinanceOptions</stp>
        <stp>AAPL160115C00100000</stp>
        <stp>Change</stp>
        <tr r="J6" s="5"/>
      </tp>
      <tp t="s">
        <v/>
        <stp/>
        <stp>YahooFinanceWatchList</stp>
        <stp>FB</stp>
        <stp>rtd_LastMessage</stp>
        <tr r="O5" s="2"/>
      </tp>
      <tp>
        <v>224.24</v>
        <stp/>
        <stp>YahooFinanceQuotes</stp>
        <stp>LNKD</stp>
        <stp>Open</stp>
        <tr r="I7" s="1"/>
      </tp>
      <tp t="s">
        <v/>
        <stp/>
        <stp>YahooFinanceOptions</stp>
        <stp>AAPL</stp>
        <stp>42384</stp>
        <stp>120</stp>
        <stp>CALL</stp>
        <stp>rtd_LastMessage</stp>
        <tr r="Q7" s="6"/>
      </tp>
      <tp>
        <v>128000</v>
        <stp/>
        <stp>YahooFinanceStocks</stp>
        <stp>MSFT</stp>
        <stp>FullTimeEmployees</stp>
        <tr r="F8" s="3"/>
      </tp>
      <tp>
        <v>74.98</v>
        <stp/>
        <stp>YahooFinanceWatchList</stp>
        <stp>FB</stp>
        <stp>Open</stp>
        <tr r="J5" s="2"/>
      </tp>
      <tp t="s">
        <v>32.06 - 46.15</v>
        <stp/>
        <stp>YahooFinanceQuotes</stp>
        <stp>YHOO</stp>
        <stp>YearRange</stp>
        <tr r="R10" s="1"/>
      </tp>
      <tp t="s">
        <v>385.8B</v>
        <stp/>
        <stp>YahooFinanceQuotes</stp>
        <stp>MSFT</stp>
        <stp>MarketCapitalization</stp>
        <tr r="AK8" s="1"/>
      </tp>
      <tp>
        <v>15.85</v>
        <stp/>
        <stp>YahooFinanceOptions</stp>
        <stp>AAPL160115C00100000</stp>
        <stp>Mark</stp>
        <tr r="L6" s="5"/>
      </tp>
      <tp>
        <v>15.86</v>
        <stp/>
        <stp>YahooFinanceOptions</stp>
        <stp>AAPL160115C00100000</stp>
        <stp>Last</stp>
        <tr r="I6" s="5"/>
      </tp>
      <tp>
        <v>7.5</v>
        <stp/>
        <stp>YahooFinanceOptions</stp>
        <stp>AAPL160115C00120000</stp>
        <stp>Mark</stp>
        <tr r="L7" s="5"/>
      </tp>
      <tp>
        <v>7.51</v>
        <stp/>
        <stp>YahooFinanceOptions</stp>
        <stp>AAPL160115C00120000</stp>
        <stp>Last</stp>
        <tr r="I7" s="5"/>
      </tp>
      <tp>
        <v>-3.78E-2</v>
        <stp/>
        <stp>YahooFinanceQuotes</stp>
        <stp>ORCL</stp>
        <stp>PercentChangeFromTwoHundredDayMovingAverage</stp>
        <tr r="AB9" s="1"/>
      </tp>
      <tp>
        <v>4.3055555555555555E-2</v>
        <stp/>
        <stp>YahooFinanceOptions</stp>
        <stp>AAPL</stp>
        <stp>42384</stp>
        <stp>120</stp>
        <stp>CALL</stp>
        <stp>ChangeInPercent</stp>
        <tr r="J7" s="6"/>
      </tp>
      <tp t="e">
        <v>#N/A</v>
        <stp/>
        <stp>YahooFinanceStocks</stp>
        <stp>FB</stp>
        <stp>End</stp>
        <tr r="H5" s="3"/>
      </tp>
      <tp>
        <v>41943</v>
        <stp/>
        <stp>YahooFinanceQuotes</stp>
        <stp>FB</stp>
        <stp>rtd_LastUpdateDate</stp>
        <tr r="BC5" s="1"/>
      </tp>
      <tp t="s">
        <v>70.5071 - 107.37</v>
        <stp/>
        <stp>YahooFinanceQuotes</stp>
        <stp>AAPL</stp>
        <stp>YearRange</stp>
        <tr r="R4" s="1"/>
      </tp>
      <tp t="s">
        <v>33.22 - 43.19</v>
        <stp/>
        <stp>YahooFinanceQuotes</stp>
        <stp>ORCL</stp>
        <stp>YearRange</stp>
        <tr r="R9" s="1"/>
      </tp>
      <tp t="s">
        <v>46.48 - 46.97</v>
        <stp/>
        <stp>YahooFinanceQuotes</stp>
        <stp>MSFT</stp>
        <stp>DaysRange</stp>
        <tr r="M8" s="1"/>
      </tp>
      <tp>
        <v>0.69</v>
        <stp/>
        <stp>YahooFinanceQuotes</stp>
        <stp>MSFT</stp>
        <stp>EPSEstimateNextQuarter</stp>
        <tr r="AH8" s="1"/>
      </tp>
      <tp>
        <v>41943.638385046295</v>
        <stp/>
        <stp>YahooFinanceHistoricalData</stp>
        <stp>YHOO</stp>
        <stp/>
        <stp>rtd_LastUpdate</stp>
        <tr r="X10" s="4"/>
      </tp>
      <tp>
        <v>-3.4000000000000002E-3</v>
        <stp/>
        <stp>YahooFinanceQuotes</stp>
        <stp>GOOG</stp>
        <stp>PercentChangeFromFiftyDayMovingAverage</stp>
        <tr r="AA6" s="1"/>
      </tp>
      <tp>
        <v>108.04</v>
        <stp/>
        <stp>YahooFinanceQuotes</stp>
        <stp>AAPL</stp>
        <stp>High</stp>
        <tr r="J4" s="1"/>
      </tp>
      <tp>
        <v>8.5900000000000004E-2</v>
        <stp/>
        <stp>YahooFinanceQuotes</stp>
        <stp>MSFT</stp>
        <stp>PercentChangeFromTwoHundredDayMovingAverage</stp>
        <tr r="AB8" s="1"/>
      </tp>
      <tp>
        <v>1481686</v>
        <stp/>
        <stp>YahooFinanceWatchList</stp>
        <stp>GOOG</stp>
        <stp>Volume</stp>
        <tr r="M6" s="2"/>
      </tp>
      <tp t="s">
        <v/>
        <stp/>
        <stp>YahooFinanceOptions</stp>
        <stp>AAPL</stp>
        <stp>42384</stp>
        <stp>100</stp>
        <stp>CALL</stp>
        <stp>rtd_LastMessage</stp>
        <tr r="Q6" s="6"/>
      </tp>
      <tp>
        <v>41943</v>
        <stp/>
        <stp>YahooFinanceStocks</stp>
        <stp>FB</stp>
        <stp>rtd_LastUpdateDate</stp>
        <tr r="L5" s="3"/>
      </tp>
      <tp t="s">
        <v>AAPL160115C00100000</v>
        <stp/>
        <stp>YahooFinanceOptions</stp>
        <stp>AAPL</stp>
        <stp>42384</stp>
        <stp>100</stp>
        <stp>CALL</stp>
        <stp>OptionCode</stp>
        <tr r="F6" s="6"/>
      </tp>
      <tp t="s">
        <v>AAPL160115C00120000</v>
        <stp/>
        <stp>YahooFinanceOptions</stp>
        <stp>AAPL</stp>
        <stp>42384</stp>
        <stp>120</stp>
        <stp>CALL</stp>
        <stp>OptionCode</stp>
        <tr r="F7" s="6"/>
      </tp>
      <tp>
        <v>8.65</v>
        <stp/>
        <stp>YahooFinanceQuotes</stp>
        <stp>LNKD</stp>
        <stp>PriceBook</stp>
        <tr r="AQ7" s="1"/>
      </tp>
      <tp>
        <v>1.1739306436378357E-2</v>
        <stp/>
        <stp>YahooFinanceWatchList</stp>
        <stp>FB</stp>
        <stp>ChangeInPercent</stp>
        <tr r="I5" s="2"/>
      </tp>
      <tp>
        <v>0.56999999999999995</v>
        <stp/>
        <stp>YahooFinanceQuotes</stp>
        <stp>LNKD</stp>
        <stp>EPSEstimateNextQuarter</stp>
        <tr r="AH7" s="1"/>
      </tp>
      <tp>
        <v>-1.6E-2</v>
        <stp/>
        <stp>YahooFinanceQuotes</stp>
        <stp>MSFT</stp>
        <stp>PercentChangeFromYearHigh</stp>
        <tr r="U8" s="1"/>
      </tp>
      <tp>
        <v>45.67</v>
        <stp/>
        <stp>YahooFinanceQuotes</stp>
        <stp>YHOO</stp>
        <stp>Low</stp>
        <tr r="K10" s="1"/>
      </tp>
      <tp>
        <v>3.14</v>
        <stp/>
        <stp>YahooFinanceQuotes</stp>
        <stp>MSFT</stp>
        <stp>EPSEstimateNextYear</stp>
        <tr r="AI8" s="1"/>
      </tp>
      <tp t="s">
        <v>28.181B</v>
        <stp/>
        <stp>YahooFinanceQuotes</stp>
        <stp>LNKD</stp>
        <stp>MarketCapitalization</stp>
        <tr r="AK7" s="1"/>
      </tp>
      <tp t="s">
        <v>AAPL</v>
        <stp/>
        <stp>YahooFinanceOptions</stp>
        <stp>AAPL150117C00120000</stp>
        <stp>Symbol</stp>
        <tr r="D5" s="5"/>
      </tp>
      <tp t="s">
        <v>AAPL</v>
        <stp/>
        <stp>YahooFinanceOptions</stp>
        <stp>AAPL150117C00100000</stp>
        <stp>Symbol</stp>
        <tr r="D4" s="5"/>
      </tp>
      <tp t="s">
        <v>AAPL</v>
        <stp/>
        <stp>YahooFinanceOptions</stp>
        <stp>AAPL160115C00120000</stp>
        <stp>Symbol</stp>
        <tr r="D7" s="5"/>
      </tp>
      <tp t="s">
        <v>AAPL</v>
        <stp/>
        <stp>YahooFinanceOptions</stp>
        <stp>AAPL160115C00100000</stp>
        <stp>Symbol</stp>
        <tr r="D6" s="5"/>
      </tp>
      <tp>
        <v>3.31</v>
        <stp/>
        <stp>YahooFinanceQuotes</stp>
        <stp>ORCL</stp>
        <stp>EPSEstimateNextYear</stp>
        <tr r="AI9" s="1"/>
      </tp>
      <tp>
        <v>37.500999999999998</v>
        <stp/>
        <stp>YahooFinanceQuotes</stp>
        <stp>YHOO</stp>
        <stp>BookValue</stp>
        <tr r="AP10" s="1"/>
      </tp>
      <tp>
        <v>46.95</v>
        <stp/>
        <stp>YahooFinanceQuotes</stp>
        <stp>MSFT</stp>
        <stp>Open</stp>
        <tr r="I8" s="1"/>
      </tp>
      <tp t="e">
        <v>#N/A</v>
        <stp/>
        <stp>YahooFinanceStocks</stp>
        <stp>GOOG</stp>
        <stp>End</stp>
        <tr r="H6" s="3"/>
      </tp>
      <tp>
        <v>41943.462947488428</v>
        <stp/>
        <stp>YahooFinanceStocks</stp>
        <stp>GOOG</stp>
        <stp>rtd_LastUpdate</stp>
        <tr r="K6" s="3"/>
      </tp>
      <tp>
        <v>10.67</v>
        <stp/>
        <stp>YahooFinanceQuotes</stp>
        <stp>ORCL</stp>
        <stp>BookValue</stp>
        <tr r="AP9" s="1"/>
      </tp>
      <tp>
        <v>19.015000000000001</v>
        <stp/>
        <stp>YahooFinanceQuotes</stp>
        <stp>AAPL</stp>
        <stp>BookValue</stp>
        <tr r="AP4" s="1"/>
      </tp>
      <tp>
        <v>1.97</v>
        <stp/>
        <stp>YahooFinanceQuotes</stp>
        <stp>AAPL</stp>
        <stp>EPSEstimateNextQuarter</stp>
        <tr r="AH4" s="1"/>
      </tp>
      <tp t="e">
        <v>#N/A</v>
        <stp/>
        <stp>YahooFinanceStocks</stp>
        <stp>LNKD</stp>
        <stp>End</stp>
        <tr r="H7" s="3"/>
      </tp>
      <tp t="s">
        <v/>
        <stp/>
        <stp>YahooFinanceStocks</stp>
        <stp>YHOO</stp>
        <stp>CompanyName</stp>
        <tr r="C10" s="3"/>
      </tp>
      <tp t="s">
        <v>19.960B</v>
        <stp/>
        <stp>YahooFinanceQuotes</stp>
        <stp>GOOG</stp>
        <stp>EBITDA</stp>
        <tr r="AU6" s="1"/>
      </tp>
      <tp>
        <v>1</v>
        <stp/>
        <stp>YahooFinanceQuotes</stp>
        <stp>MSFT</stp>
        <stp>Last:tick</stp>
        <tr r="E8" s="1"/>
      </tp>
      <tp>
        <v>3.7037037037037035E-2</v>
        <stp/>
        <stp>YahooFinanceOptions</stp>
        <stp>AAPL</stp>
        <stp>42021</stp>
        <stp>120</stp>
        <stp>CALL</stp>
        <stp>ChangeInPercent</stp>
        <tr r="J5" s="6"/>
      </tp>
      <tp t="s">
        <v/>
        <stp/>
        <stp>YahooFinanceStocks</stp>
        <stp>GOOG</stp>
        <stp>CompanyName</stp>
        <tr r="C6" s="3"/>
      </tp>
      <tp>
        <v>6257649</v>
        <stp/>
        <stp>YahooFinanceWatchList</stp>
        <stp>LNKD</stp>
        <stp>Volume</stp>
        <tr r="M7" s="2"/>
      </tp>
      <tp t="s">
        <v>378.7B</v>
        <stp/>
        <stp>YahooFinanceQuotes</stp>
        <stp>GOOG</stp>
        <stp>MarketCapitalization</stp>
        <tr r="AK6" s="1"/>
      </tp>
      <tp t="s">
        <v>45.058B</v>
        <stp/>
        <stp>YahooFinanceQuotes</stp>
        <stp>YHOO</stp>
        <stp>MarketCapitalization</stp>
        <tr r="AK10" s="1"/>
      </tp>
      <tp>
        <v>41943.462964467595</v>
        <stp/>
        <stp>YahooFinanceStocks</stp>
        <stp>AAPL</stp>
        <stp>rtd_LastUpdate</stp>
        <tr r="K4" s="3"/>
      </tp>
      <tp>
        <v>1.22</v>
        <stp/>
        <stp>YahooFinanceQuotes</stp>
        <stp>YHOO</stp>
        <stp>PriceBook</stp>
        <tr r="AQ10" s="1"/>
      </tp>
      <tp>
        <v>2.3199999999999998E-2</v>
        <stp/>
        <stp>YahooFinanceQuotes</stp>
        <stp>MSFT</stp>
        <stp>PercentChangeFromFiftyDayMovingAverage</stp>
        <tr r="AA8" s="1"/>
      </tp>
      <tp>
        <v>6.99</v>
        <stp/>
        <stp>YahooFinanceQuotes</stp>
        <stp>GOOG</stp>
        <stp>EPSEstimateNextQuarter</stp>
        <tr r="AH6" s="1"/>
      </tp>
      <tp>
        <v>38.880000000000003</v>
        <stp/>
        <stp>YahooFinanceQuotes</stp>
        <stp>ORCL</stp>
        <stp>Open</stp>
        <tr r="I9" s="1"/>
      </tp>
      <tp>
        <v>23046924</v>
        <stp/>
        <stp>YahooFinanceWatchList</stp>
        <stp>MSFT</stp>
        <stp>Volume</stp>
        <tr r="M8" s="2"/>
      </tp>
      <tp t="s">
        <v/>
        <stp/>
        <stp>YahooFinanceStocks</stp>
        <stp>LNKD</stp>
        <stp>CompanyName</stp>
        <tr r="C7" s="3"/>
      </tp>
      <tp t="e">
        <v>#N/A</v>
        <stp/>
        <stp>YahooFinanceStocks</stp>
        <stp>YHOO</stp>
        <stp>End</stp>
        <tr r="H10" s="3"/>
      </tp>
      <tp t="s">
        <v/>
        <stp/>
        <stp>YahooFinanceOptions</stp>
        <stp>AAPL</stp>
        <stp>42021</stp>
        <stp>100</stp>
        <stp>CALL</stp>
        <stp>rtd_LastMessage</stp>
        <tr r="Q4" s="6"/>
      </tp>
      <tp t="s">
        <v>502.80 - 604.83</v>
        <stp/>
        <stp>YahooFinanceQuotes</stp>
        <stp>GOOG</stp>
        <stp>YearRange</stp>
        <tr r="R6" s="1"/>
      </tp>
      <tp t="s">
        <v>60.449B</v>
        <stp/>
        <stp>YahooFinanceQuotes</stp>
        <stp>AAPL</stp>
        <stp>EBITDA</stp>
        <tr r="AU4" s="1"/>
      </tp>
      <tp>
        <v>0.11550000000000001</v>
        <stp/>
        <stp>YahooFinanceQuotes</stp>
        <stp>LNKD</stp>
        <stp>PercentChangeFromFiftyDayMovingAverage</stp>
        <tr r="AA7" s="1"/>
      </tp>
      <tp>
        <v>6.0606060606060608E-2</v>
        <stp/>
        <stp>YahooFinanceOptions</stp>
        <stp>AAPL</stp>
        <stp>42021</stp>
        <stp>100</stp>
        <stp>CALL</stp>
        <stp>ChangeInPercent</stp>
        <tr r="J4" s="6"/>
      </tp>
      <tp>
        <v>222.73</v>
        <stp/>
        <stp>YahooFinanceQuotes</stp>
        <stp>LNKD</stp>
        <stp>Low</stp>
        <tr r="K7" s="1"/>
      </tp>
      <tp>
        <v>0.660903587962963</v>
        <stp/>
        <stp>YahooFinanceQuotes</stp>
        <stp>FB</stp>
        <stp>rtd_LastUpdateTime</stp>
        <tr r="BD5" s="1"/>
      </tp>
      <tp t="s">
        <v>136.02 - 239.17</v>
        <stp/>
        <stp>YahooFinanceQuotes</stp>
        <stp>LNKD</stp>
        <stp>YearRange</stp>
        <tr r="R7" s="1"/>
      </tp>
      <tp>
        <v>107.84010000000001</v>
        <stp/>
        <stp>YahooFinanceQuotes</stp>
        <stp>AAPL</stp>
        <stp>Last</stp>
        <tr r="F4" s="1"/>
      </tp>
      <tp>
        <v>-1.2999999999999999E-3</v>
        <stp/>
        <stp>YahooFinanceQuotes</stp>
        <stp>ORCL</stp>
        <stp>PercentChangeFromFiftyDayMovingAverage</stp>
        <tr r="AA9" s="1"/>
      </tp>
      <tp t="s">
        <v>Apple Inc.</v>
        <stp/>
        <stp>YahooFinanceQuotes</stp>
        <stp>AAPL</stp>
        <stp>Name</stp>
        <tr r="AV4" s="1"/>
      </tp>
      <tp>
        <v>9445605</v>
        <stp/>
        <stp>YahooFinanceWatchList</stp>
        <stp>ORCL</stp>
        <stp>Volume</stp>
        <tr r="M9" s="2"/>
      </tp>
      <tp>
        <v>554.75</v>
        <stp/>
        <stp>YahooFinanceQuotes</stp>
        <stp>GOOG</stp>
        <stp>Low</stp>
        <tr r="K6" s="1"/>
      </tp>
      <tp t="s">
        <v/>
        <stp/>
        <stp>YahooFinanceOptions</stp>
        <stp>AAPL</stp>
        <stp>42021</stp>
        <stp>120</stp>
        <stp>CALL</stp>
        <stp>rtd_LastMessage</stp>
        <tr r="Q5" s="6"/>
      </tp>
      <tp>
        <v>0.46300165509259261</v>
        <stp/>
        <stp>YahooFinanceStocks</stp>
        <stp>FB</stp>
        <stp>rtd_LastUpdateTime</stp>
        <tr r="M5" s="3"/>
      </tp>
      <tp>
        <v>74.45</v>
        <stp/>
        <stp>YahooFinanceQuotes</stp>
        <stp>FB</stp>
        <stp>Low</stp>
        <tr r="K5" s="1"/>
      </tp>
      <tp>
        <v>3.61</v>
        <stp/>
        <stp>YahooFinanceQuotes</stp>
        <stp>ORCL</stp>
        <stp>PriceBook</stp>
        <tr r="AQ9" s="1"/>
      </tp>
      <tp>
        <v>5.63</v>
        <stp/>
        <stp>YahooFinanceQuotes</stp>
        <stp>AAPL</stp>
        <stp>PriceBook</stp>
        <tr r="AQ4" s="1"/>
      </tp>
      <tp>
        <v>41943.638402743054</v>
        <stp/>
        <stp>YahooFinanceHistoricalData</stp>
        <stp>AAPL</stp>
        <stp/>
        <stp>rtd_LastUpdate</stp>
        <tr r="X4" s="4"/>
      </tp>
      <tp>
        <v>0</v>
        <stp/>
        <stp>YahooFinanceHistoricalData</stp>
        <stp>AAPL</stp>
        <stp/>
        <stp>rtd_LastError</stp>
        <tr r="V4" s="4"/>
      </tp>
      <tp>
        <v>41943.660741805557</v>
        <stp/>
        <stp>YahooFinanceWatchList</stp>
        <stp>GOOG</stp>
        <stp>rtd_LastUpdate</stp>
        <tr r="P6" s="2"/>
      </tp>
      <tp>
        <v>45.63</v>
        <stp/>
        <stp>YahooFinanceHistoricalData</stp>
        <stp>YHOO</stp>
        <stp/>
        <stp>AdjClose</stp>
        <tr r="K10" s="4"/>
      </tp>
      <tp>
        <v>55.432000000000002</v>
        <stp/>
        <stp>YahooFinanceQuotes</stp>
        <stp>GOOG</stp>
        <stp>ChangeFromYearLow</stp>
        <tr r="T6" s="1"/>
      </tp>
      <tp>
        <v>-7.9999999999998295E-2</v>
        <stp/>
        <stp>YahooFinanceHistoricalData</stp>
        <stp>ORCL</stp>
        <stp/>
        <stp>Change</stp>
        <tr r="I9" s="4"/>
      </tp>
      <tp t="s">
        <v>Aug 19</v>
        <stp/>
        <stp>YahooFinanceQuotes</stp>
        <stp>MSFT</stp>
        <stp>ExDividendDate</stp>
        <tr r="AN8" s="1"/>
      </tp>
      <tp t="s">
        <v/>
        <stp/>
        <stp>YahooFinanceQuotes</stp>
        <stp>FB</stp>
        <stp>Commission</stp>
        <tr r="AX5" s="1"/>
      </tp>
      <tp>
        <v>0</v>
        <stp/>
        <stp>YahooFinanceWatchList</stp>
        <stp>LNKD</stp>
        <stp>rtd_LastError</stp>
        <tr r="N7" s="2"/>
      </tp>
      <tp>
        <v>75.7</v>
        <stp/>
        <stp>YahooFinanceQuotes</stp>
        <stp>FB</stp>
        <stp>High</stp>
        <tr r="J5" s="1"/>
      </tp>
      <tp>
        <v>75.86</v>
        <stp/>
        <stp>YahooFinanceHistoricalData</stp>
        <stp>FB</stp>
        <stp/>
        <stp>PrevAdjClose</stp>
        <tr r="T5" s="4"/>
      </tp>
      <tp>
        <v>550</v>
        <stp/>
        <stp>YahooFinanceHistoricalData</stp>
        <stp>GOOG</stp>
        <stp/>
        <stp>PrevOpen</stp>
        <tr r="P6" s="4"/>
      </tp>
      <tp>
        <v>16205500</v>
        <stp/>
        <stp>YahooFinanceHistoricalData</stp>
        <stp>YHOO</stp>
        <stp/>
        <stp>Volume</stp>
        <tr r="N10" s="4"/>
      </tp>
      <tp>
        <v>74.11</v>
        <stp/>
        <stp>YahooFinanceQuotes</stp>
        <stp>FB</stp>
        <stp>PreviousClose</stp>
        <tr r="N5" s="1"/>
      </tp>
      <tp>
        <v>-0.57000000000000028</v>
        <stp/>
        <stp>YahooFinanceHistoricalData</stp>
        <stp>MSFT</stp>
        <stp/>
        <stp>Change</stp>
        <tr r="I8" s="4"/>
      </tp>
      <tp>
        <v>41943</v>
        <stp/>
        <stp>YahooFinanceOptions</stp>
        <stp>AAPL</stp>
        <stp>42021</stp>
        <stp>100</stp>
        <stp>CALL</stp>
        <stp>rtd_LastUpdateDate</stp>
        <tr r="S4" s="6"/>
      </tp>
      <tp>
        <v>41943</v>
        <stp/>
        <stp>YahooFinanceOptions</stp>
        <stp>AAPL</stp>
        <stp>42021</stp>
        <stp>120</stp>
        <stp>CALL</stp>
        <stp>rtd_LastUpdateDate</stp>
        <tr r="S5" s="6"/>
      </tp>
      <tp>
        <v>7.9219999999999997</v>
        <stp/>
        <stp>YahooFinanceQuotes</stp>
        <stp>GOOG</stp>
        <stp>Change</stp>
        <tr r="G6" s="1"/>
      </tp>
      <tp t="s">
        <v/>
        <stp/>
        <stp>YahooFinanceQuotes</stp>
        <stp>LNKD</stp>
        <stp>ExDividendDate</stp>
        <tr r="AN7" s="1"/>
      </tp>
      <tp>
        <v>0</v>
        <stp/>
        <stp>YahooFinanceWatchList</stp>
        <stp>GOOG</stp>
        <stp>rtd_LastError</stp>
        <tr r="N6" s="2"/>
      </tp>
      <tp>
        <v>202.99</v>
        <stp/>
        <stp>YahooFinanceHistoricalData</stp>
        <stp>LNKD</stp>
        <stp/>
        <stp>PrevOpen</stp>
        <tr r="P7" s="4"/>
      </tp>
      <tp t="s">
        <v>Oct  6</v>
        <stp/>
        <stp>YahooFinanceQuotes</stp>
        <stp>ORCL</stp>
        <stp>ExDividendDate</stp>
        <tr r="AN9" s="1"/>
      </tp>
      <tp>
        <v>41943</v>
        <stp/>
        <stp>YahooFinanceOptions</stp>
        <stp>AAPL</stp>
        <stp>42384</stp>
        <stp>120</stp>
        <stp>CALL</stp>
        <stp>rtd_LastUpdateDate</stp>
        <tr r="S7" s="6"/>
      </tp>
      <tp>
        <v>41943</v>
        <stp/>
        <stp>YahooFinanceOptions</stp>
        <stp>AAPL</stp>
        <stp>42384</stp>
        <stp>100</stp>
        <stp>CALL</stp>
        <stp>rtd_LastUpdateDate</stp>
        <tr r="S6" s="6"/>
      </tp>
      <tp>
        <v>1</v>
        <stp/>
        <stp>YahooFinanceQuotes</stp>
        <stp>FB</stp>
        <stp>ShortRatio</stp>
        <tr r="O5" s="1"/>
      </tp>
      <tp t="e">
        <v>#N/A</v>
        <stp/>
        <stp>YahooFinanceQuotes</stp>
        <stp>FB</stp>
        <stp>DividendYield</stp>
        <tr r="AL5" s="1"/>
      </tp>
      <tp>
        <v>93.26</v>
        <stp/>
        <stp>YahooFinanceQuotes</stp>
        <stp>LNKD</stp>
        <stp>ChangeFromYearLow</stp>
        <tr r="T7" s="1"/>
      </tp>
      <tp>
        <v>105.9</v>
        <stp/>
        <stp>YahooFinanceHistoricalData</stp>
        <stp>AAPL</stp>
        <stp/>
        <stp>Low</stp>
        <tr r="G4" s="4"/>
      </tp>
      <tp>
        <v>38.5</v>
        <stp/>
        <stp>YahooFinanceHistoricalData</stp>
        <stp>ORCL</stp>
        <stp/>
        <stp>AdjClose</stp>
        <tr r="K9" s="4"/>
      </tp>
      <tp>
        <v>41941</v>
        <stp/>
        <stp>YahooFinanceHistoricalData</stp>
        <stp>MSFT</stp>
        <stp/>
        <stp>PrevDate</stp>
        <tr r="O8" s="4"/>
      </tp>
      <tp>
        <v>106.98</v>
        <stp/>
        <stp>YahooFinanceHistoricalData</stp>
        <stp>AAPL</stp>
        <stp/>
        <stp>AdjClose</stp>
        <tr r="K4" s="4"/>
      </tp>
      <tp>
        <v>38.5</v>
        <stp/>
        <stp>YahooFinanceHistoricalData</stp>
        <stp>ORCL</stp>
        <stp/>
        <stp>Close</stp>
        <tr r="H9" s="4"/>
      </tp>
      <tp>
        <v>14430310</v>
        <stp/>
        <stp>YahooFinanceQuotes</stp>
        <stp>YHOO</stp>
        <stp>Volume</stp>
        <tr r="L10" s="1"/>
      </tp>
      <tp t="s">
        <v>Technology</v>
        <stp/>
        <stp>YahooFinanceStocks</stp>
        <stp>ORCL</stp>
        <stp>Sector</stp>
        <tr r="D9" s="3"/>
      </tp>
      <tp>
        <v>5.5705999999999998</v>
        <stp/>
        <stp>YahooFinanceQuotes</stp>
        <stp>FB</stp>
        <stp>ChangeFromTwoHundredDayMovingAverage</stp>
        <tr r="Z5" s="1"/>
      </tp>
      <tp>
        <v>0.65</v>
        <stp/>
        <stp>YahooFinanceQuotes</stp>
        <stp>FB</stp>
        <stp>LastTradeTime</stp>
        <tr r="D5" s="1"/>
      </tp>
      <tp>
        <v>0</v>
        <stp/>
        <stp>YahooFinanceHistoricalData</stp>
        <stp>GOOG</stp>
        <stp/>
        <stp>rtd_LastError</stp>
        <tr r="V6" s="4"/>
      </tp>
      <tp>
        <v>41943.660727361108</v>
        <stp/>
        <stp>YahooFinanceWatchList</stp>
        <stp>AAPL</stp>
        <stp>rtd_LastUpdate</stp>
        <tr r="P4" s="2"/>
      </tp>
      <tp>
        <v>46.05</v>
        <stp/>
        <stp>YahooFinanceHistoricalData</stp>
        <stp>MSFT</stp>
        <stp/>
        <stp>Close</stp>
        <tr r="H8" s="4"/>
      </tp>
      <tp>
        <v>1451500</v>
        <stp/>
        <stp>YahooFinanceHistoricalData</stp>
        <stp>GOOG</stp>
        <stp/>
        <stp>Volume</stp>
        <tr r="N6" s="4"/>
      </tp>
      <tp>
        <v>41943.638303078704</v>
        <stp/>
        <stp>YahooFinanceHistoricalData</stp>
        <stp>FB</stp>
        <stp/>
        <stp>rtd_LastUpdate</stp>
        <tr r="X5" s="4"/>
      </tp>
      <tp t="s">
        <v>Technology</v>
        <stp/>
        <stp>YahooFinanceStocks</stp>
        <stp>MSFT</stp>
        <stp>Sector</stp>
        <tr r="D8" s="3"/>
      </tp>
      <tp>
        <v>41943</v>
        <stp/>
        <stp>YahooFinanceWatchList</stp>
        <stp>MSFT</stp>
        <stp>LastTradeDate</stp>
        <tr r="D8" s="2"/>
      </tp>
      <tp>
        <v>41943.661352812502</v>
        <stp/>
        <stp>YahooFinanceWatchList</stp>
        <stp>FB</stp>
        <stp>rtd_LastUpdate</stp>
        <tr r="P5" s="2"/>
      </tp>
      <tp>
        <v>202.9</v>
        <stp/>
        <stp>YahooFinanceHistoricalData</stp>
        <stp>LNKD</stp>
        <stp/>
        <stp>Close</stp>
        <tr r="H7" s="4"/>
      </tp>
      <tp t="s">
        <v>NasdaqNM</v>
        <stp/>
        <stp>YahooFinanceQuotes</stp>
        <stp>FB</stp>
        <stp>StockExchange</stp>
        <tr r="AW5" s="1"/>
      </tp>
      <tp>
        <v>4290800</v>
        <stp/>
        <stp>YahooFinanceHistoricalData</stp>
        <stp>LNKD</stp>
        <stp/>
        <stp>Volume</stp>
        <tr r="N7" s="4"/>
      </tp>
      <tp>
        <v>0</v>
        <stp/>
        <stp>YahooFinanceQuotes</stp>
        <stp>FB</stp>
        <stp>DividendShare</stp>
        <tr r="AM5" s="1"/>
      </tp>
      <tp t="s">
        <v>Technology</v>
        <stp/>
        <stp>YahooFinanceStocks</stp>
        <stp>LNKD</stp>
        <stp>Sector</stp>
        <tr r="D7" s="3"/>
      </tp>
      <tp>
        <v>0.86009999999999998</v>
        <stp/>
        <stp>YahooFinanceQuotes</stp>
        <stp>AAPL</stp>
        <stp>Change</stp>
        <tr r="G4" s="1"/>
      </tp>
      <tp>
        <v>41943.661334571756</v>
        <stp/>
        <stp>YahooFinanceWatchList</stp>
        <stp>ORCL</stp>
        <stp>rtd_LastUpdate</stp>
        <tr r="P9" s="2"/>
      </tp>
      <tp>
        <v>13.965</v>
        <stp/>
        <stp>YahooFinanceQuotes</stp>
        <stp>YHOO</stp>
        <stp>ChangeFromYearLow</stp>
        <tr r="T10" s="1"/>
      </tp>
      <tp>
        <v>40589700</v>
        <stp/>
        <stp>YahooFinanceHistoricalData</stp>
        <stp>AAPL</stp>
        <stp/>
        <stp>Volume</stp>
        <tr r="N4" s="4"/>
      </tp>
      <tp>
        <v>75.05</v>
        <stp/>
        <stp>YahooFinanceHistoricalData</stp>
        <stp>FB</stp>
        <stp/>
        <stp>Open</stp>
        <tr r="E5" s="4"/>
      </tp>
      <tp>
        <v>550.30999999999995</v>
        <stp/>
        <stp>YahooFinanceHistoricalData</stp>
        <stp>GOOG</stp>
        <stp/>
        <stp>AdjClose</stp>
        <tr r="K6" s="4"/>
      </tp>
      <tp>
        <v>0</v>
        <stp/>
        <stp>YahooFinanceWatchList</stp>
        <stp>ORCL</stp>
        <stp>rtd_LastError</stp>
        <tr r="N9" s="2"/>
      </tp>
      <tp>
        <v>0</v>
        <stp/>
        <stp>YahooFinanceWatchList</stp>
        <stp>AAPL</stp>
        <stp>rtd_LastError</stp>
        <tr r="N4" s="2"/>
      </tp>
      <tp>
        <v>74.989999999999995</v>
        <stp/>
        <stp>YahooFinanceQuotes</stp>
        <stp>FB</stp>
        <stp>Last</stp>
        <tr r="F5" s="1"/>
      </tp>
      <tp t="s">
        <v>Facebook, Inc.</v>
        <stp/>
        <stp>YahooFinanceQuotes</stp>
        <stp>FB</stp>
        <stp>Name</stp>
        <tr r="AV5" s="1"/>
      </tp>
      <tp>
        <v>45.94</v>
        <stp/>
        <stp>YahooFinanceHistoricalData</stp>
        <stp>YHOO</stp>
        <stp/>
        <stp>PrevOpen</stp>
        <tr r="P10" s="4"/>
      </tp>
      <tp>
        <v>0.435</v>
        <stp/>
        <stp>YahooFinanceQuotes</stp>
        <stp>ORCL</stp>
        <stp>Change</stp>
        <tr r="G9" s="1"/>
      </tp>
      <tp>
        <v>0.65679289351851855</v>
        <stp/>
        <stp>YahooFinanceOptions</stp>
        <stp>AAPL</stp>
        <stp>42021</stp>
        <stp>100</stp>
        <stp>CALL</stp>
        <stp>rtd_LastUpdateTime</stp>
        <tr r="T4" s="6"/>
      </tp>
      <tp>
        <v>0.65679289351851855</v>
        <stp/>
        <stp>YahooFinanceOptions</stp>
        <stp>AAPL</stp>
        <stp>42021</stp>
        <stp>120</stp>
        <stp>CALL</stp>
        <stp>rtd_LastUpdateTime</stp>
        <tr r="T5" s="6"/>
      </tp>
      <tp>
        <v>17.12</v>
        <stp/>
        <stp>YahooFinanceQuotes</stp>
        <stp>FB</stp>
        <stp>PriceSales</stp>
        <tr r="AR5" s="1"/>
      </tp>
      <tp>
        <v>41943.661366168984</v>
        <stp/>
        <stp>YahooFinanceWatchList</stp>
        <stp>MSFT</stp>
        <stp>rtd_LastUpdate</stp>
        <tr r="P8" s="2"/>
      </tp>
      <tp>
        <v>106.98</v>
        <stp/>
        <stp>YahooFinanceHistoricalData</stp>
        <stp>AAPL</stp>
        <stp/>
        <stp>Close</stp>
        <tr r="H4" s="4"/>
      </tp>
      <tp>
        <v>0</v>
        <stp/>
        <stp>YahooFinanceWatchList</stp>
        <stp>YHOO</stp>
        <stp>rtd_LastError</stp>
        <tr r="N10" s="2"/>
      </tp>
      <tp>
        <v>106.65</v>
        <stp/>
        <stp>YahooFinanceHistoricalData</stp>
        <stp>AAPL</stp>
        <stp/>
        <stp>PrevOpen</stp>
        <tr r="P4" s="4"/>
      </tp>
      <tp>
        <v>38.729999999999997</v>
        <stp/>
        <stp>YahooFinanceHistoricalData</stp>
        <stp>ORCL</stp>
        <stp/>
        <stp>PrevOpen</stp>
        <tr r="P9" s="4"/>
      </tp>
      <tp>
        <v>1.081</v>
        <stp/>
        <stp>YahooFinanceQuotes</stp>
        <stp>FB</stp>
        <stp>EarningsShare</stp>
        <tr r="AJ5" s="1"/>
      </tp>
      <tp t="s">
        <v/>
        <stp/>
        <stp>YahooFinanceQuotes</stp>
        <stp>FB</stp>
        <stp>Notes</stp>
        <tr r="AY5" s="1"/>
      </tp>
      <tp t="s">
        <v>Consumer Goods</v>
        <stp/>
        <stp>YahooFinanceStocks</stp>
        <stp>AAPL</stp>
        <stp>Sector</stp>
        <tr r="D4" s="3"/>
      </tp>
      <tp>
        <v>0.65671271990740743</v>
        <stp/>
        <stp>YahooFinanceOptions</stp>
        <stp>AAPL</stp>
        <stp>42384</stp>
        <stp>120</stp>
        <stp>CALL</stp>
        <stp>rtd_LastUpdateTime</stp>
        <tr r="T7" s="6"/>
      </tp>
      <tp>
        <v>26.38</v>
        <stp/>
        <stp>YahooFinanceQuotes</stp>
        <stp>LNKD</stp>
        <stp>Change</stp>
        <tr r="G7" s="1"/>
      </tp>
      <tp>
        <v>0.65671271990740743</v>
        <stp/>
        <stp>YahooFinanceOptions</stp>
        <stp>AAPL</stp>
        <stp>42384</stp>
        <stp>100</stp>
        <stp>CALL</stp>
        <stp>rtd_LastUpdateTime</stp>
        <tr r="T6" s="6"/>
      </tp>
      <tp>
        <v>1.61</v>
        <stp/>
        <stp>YahooFinanceQuotes</stp>
        <stp>YHOO</stp>
        <stp>EPSEstimateCurrentYear</stp>
        <tr r="AG10" s="1"/>
      </tp>
      <tp t="s">
        <v/>
        <stp/>
        <stp>YahooFinanceQuotes</stp>
        <stp>GOOG</stp>
        <stp>ExDividendDate</stp>
        <tr r="AN6" s="1"/>
      </tp>
      <tp>
        <v>41943.660685659721</v>
        <stp/>
        <stp>YahooFinanceWatchList</stp>
        <stp>LNKD</stp>
        <stp>rtd_LastUpdate</stp>
        <tr r="P7" s="2"/>
      </tp>
      <tp>
        <v>5.7149999999999999</v>
        <stp/>
        <stp>YahooFinanceQuotes</stp>
        <stp>ORCL</stp>
        <stp>ChangeFromYearLow</stp>
        <tr r="T9" s="1"/>
      </tp>
      <tp>
        <v>37.332999999999998</v>
        <stp/>
        <stp>YahooFinanceQuotes</stp>
        <stp>AAPL</stp>
        <stp>ChangeFromYearLow</stp>
        <tr r="T4" s="1"/>
      </tp>
      <tp>
        <v>46.7</v>
        <stp/>
        <stp>YahooFinanceHistoricalData</stp>
        <stp>MSFT</stp>
        <stp/>
        <stp>PrevHigh</stp>
        <tr r="Q8" s="4"/>
      </tp>
      <tp>
        <v>202.9</v>
        <stp/>
        <stp>YahooFinanceHistoricalData</stp>
        <stp>LNKD</stp>
        <stp/>
        <stp>AdjClose</stp>
        <tr r="K7" s="4"/>
      </tp>
      <tp>
        <v>0.76</v>
        <stp/>
        <stp>YahooFinanceQuotes</stp>
        <stp>MSFT</stp>
        <stp>Change</stp>
        <tr r="G8" s="1"/>
      </tp>
      <tp>
        <v>0</v>
        <stp/>
        <stp>YahooFinanceHistoricalData</stp>
        <stp>MSFT</stp>
        <stp/>
        <stp>rtd_LastError</stp>
        <tr r="V8" s="4"/>
      </tp>
      <tp>
        <v>550.30999999999995</v>
        <stp/>
        <stp>YahooFinanceHistoricalData</stp>
        <stp>GOOG</stp>
        <stp/>
        <stp>Close</stp>
        <tr r="H6" s="4"/>
      </tp>
      <tp t="s">
        <v/>
        <stp/>
        <stp>YahooFinanceWatchList</stp>
        <stp>MSFT</stp>
        <stp>rtd_LastMessage</stp>
        <tr r="O8" s="2"/>
      </tp>
      <tp t="s">
        <v>Technology</v>
        <stp/>
        <stp>YahooFinanceStocks</stp>
        <stp>GOOG</stp>
        <stp>Sector</stp>
        <tr r="D6" s="3"/>
      </tp>
      <tp t="s">
        <v>Aug  7</v>
        <stp/>
        <stp>YahooFinanceQuotes</stp>
        <stp>AAPL</stp>
        <stp>ExDividendDate</stp>
        <tr r="AN4" s="1"/>
      </tp>
      <tp>
        <v>0</v>
        <stp/>
        <stp>YahooFinanceHistoricalData</stp>
        <stp>LNKD</stp>
        <stp/>
        <stp>rtd_LastError</stp>
        <tr r="V7" s="4"/>
      </tp>
      <tp>
        <v>-6.17</v>
        <stp/>
        <stp>YahooFinanceQuotes</stp>
        <stp>FB</stp>
        <stp>ChangeFromYearHigh</stp>
        <tr r="S5" s="1"/>
      </tp>
      <tp t="s">
        <v/>
        <stp/>
        <stp>YahooFinanceWatchList</stp>
        <stp>ORCL</stp>
        <stp>rtd_LastMessage</stp>
        <tr r="O9" s="2"/>
      </tp>
      <tp>
        <v>41943</v>
        <stp/>
        <stp>YahooFinanceQuotes</stp>
        <stp>FB</stp>
        <stp>LastTradeDate</stp>
        <tr r="C5" s="1"/>
      </tp>
      <tp>
        <v>0</v>
        <stp/>
        <stp>YahooFinanceHistoricalData</stp>
        <stp>ORCL</stp>
        <stp/>
        <stp>rtd_LastError</stp>
        <tr r="V9" s="4"/>
      </tp>
      <tp>
        <v>1.1662337662337662E-2</v>
        <stp/>
        <stp>YahooFinanceWatchList</stp>
        <stp>ORCL</stp>
        <stp>ChangeInPercent</stp>
        <tr r="I9" s="2"/>
      </tp>
      <tp>
        <v>0.65069444444444446</v>
        <stp/>
        <stp>YahooFinanceWatchList</stp>
        <stp>MSFT</stp>
        <stp>LastTradeTime</stp>
        <tr r="E8" s="2"/>
      </tp>
      <tp>
        <v>1.6503800217155265E-2</v>
        <stp/>
        <stp>YahooFinanceWatchList</stp>
        <stp>MSFT</stp>
        <stp>ChangeInPercent</stp>
        <tr r="I8" s="2"/>
      </tp>
      <tp t="s">
        <v/>
        <stp/>
        <stp>YahooFinanceWatchList</stp>
        <stp>GOOG</stp>
        <stp>rtd_LastMessage</stp>
        <tr r="O6" s="2"/>
      </tp>
      <tp>
        <v>38.39</v>
        <stp/>
        <stp>YahooFinanceHistoricalData</stp>
        <stp>ORCL</stp>
        <stp/>
        <stp>Low</stp>
        <tr r="G9" s="4"/>
      </tp>
      <tp>
        <v>41941</v>
        <stp/>
        <stp>YahooFinanceHistoricalData</stp>
        <stp>GOOG</stp>
        <stp/>
        <stp>PrevDate</stp>
        <tr r="O6" s="4"/>
      </tp>
      <tp>
        <v>45.98</v>
        <stp/>
        <stp>YahooFinanceHistoricalData</stp>
        <stp>YHOO</stp>
        <stp/>
        <stp>PrevHigh</stp>
        <tr r="Q10" s="4"/>
      </tp>
      <tp>
        <v>23017328</v>
        <stp/>
        <stp>YahooFinanceQuotes</stp>
        <stp>MSFT</stp>
        <stp>Volume</stp>
        <tr r="L8" s="1"/>
      </tp>
      <tp>
        <v>0</v>
        <stp/>
        <stp>YahooFinanceWatchList</stp>
        <stp>MSFT</stp>
        <stp>rtd_LastError</stp>
        <tr r="N8" s="2"/>
      </tp>
      <tp t="s">
        <v/>
        <stp/>
        <stp>YahooFinanceWatchList</stp>
        <stp>LNKD</stp>
        <stp>rtd_LastMessage</stp>
        <tr r="O7" s="2"/>
      </tp>
      <tp>
        <v>75.349999999999994</v>
        <stp/>
        <stp>YahooFinanceHistoricalData</stp>
        <stp>FB</stp>
        <stp/>
        <stp>High</stp>
        <tr r="F5" s="4"/>
      </tp>
      <tp>
        <v>6262459</v>
        <stp/>
        <stp>YahooFinanceQuotes</stp>
        <stp>LNKD</stp>
        <stp>Volume</stp>
        <tr r="L7" s="1"/>
      </tp>
      <tp>
        <v>45.63</v>
        <stp/>
        <stp>YahooFinanceHistoricalData</stp>
        <stp>YHOO</stp>
        <stp/>
        <stp>Close</stp>
        <tr r="H10" s="4"/>
      </tp>
      <tp>
        <v>0.13021192705766391</v>
        <stp/>
        <stp>YahooFinanceWatchList</stp>
        <stp>LNKD</stp>
        <stp>ChangeInPercent</stp>
        <tr r="I7" s="2"/>
      </tp>
      <tp>
        <v>46.44</v>
        <stp/>
        <stp>YahooFinanceHistoricalData</stp>
        <stp>MSFT</stp>
        <stp/>
        <stp>PrevOpen</stp>
        <tr r="P8" s="4"/>
      </tp>
      <tp t="s">
        <v>Technology</v>
        <stp/>
        <stp>YahooFinanceStocks</stp>
        <stp>YHOO</stp>
        <stp>Sector</stp>
        <tr r="D10" s="3"/>
      </tp>
      <tp>
        <v>7.65</v>
        <stp/>
        <stp>YahooFinanceQuotes</stp>
        <stp>AAPL</stp>
        <stp>EPSEstimateCurrentYear</stp>
        <tr r="AG4" s="1"/>
      </tp>
      <tp>
        <v>9401884</v>
        <stp/>
        <stp>YahooFinanceQuotes</stp>
        <stp>ORCL</stp>
        <stp>Volume</stp>
        <tr r="L9" s="1"/>
      </tp>
      <tp>
        <v>1.4391888208464319E-2</v>
        <stp/>
        <stp>YahooFinanceWatchList</stp>
        <stp>GOOG</stp>
        <stp>ChangeInPercent</stp>
        <tr r="I6" s="2"/>
      </tp>
      <tp>
        <v>12.18</v>
        <stp/>
        <stp>YahooFinanceQuotes</stp>
        <stp>MSFT</stp>
        <stp>ChangeFromYearLow</stp>
        <tr r="T8" s="1"/>
      </tp>
      <tp>
        <v>107.37</v>
        <stp/>
        <stp>YahooFinanceHistoricalData</stp>
        <stp>AAPL</stp>
        <stp/>
        <stp>PrevHigh</stp>
        <tr r="Q4" s="4"/>
      </tp>
      <tp>
        <v>38.74</v>
        <stp/>
        <stp>YahooFinanceHistoricalData</stp>
        <stp>ORCL</stp>
        <stp/>
        <stp>PrevHigh</stp>
        <tr r="Q9" s="4"/>
      </tp>
      <tp>
        <v>-0.35999999999999943</v>
        <stp/>
        <stp>YahooFinanceHistoricalData</stp>
        <stp>AAPL</stp>
        <stp/>
        <stp>Change</stp>
        <tr r="I4" s="4"/>
      </tp>
      <tp>
        <v>41941</v>
        <stp/>
        <stp>YahooFinanceHistoricalData</stp>
        <stp>LNKD</stp>
        <stp/>
        <stp>PrevDate</stp>
        <tr r="O7" s="4"/>
      </tp>
      <tp>
        <v>41047</v>
        <stp/>
        <stp>YahooFinanceStocks</stp>
        <stp>FB</stp>
        <stp>Start</stp>
        <tr r="G5" s="3"/>
      </tp>
      <tp>
        <v>0.65</v>
        <stp/>
        <stp>YahooFinanceWatchList</stp>
        <stp>YHOO</stp>
        <stp>LastTradeTime</stp>
        <tr r="E10" s="2"/>
      </tp>
      <tp>
        <v>41943</v>
        <stp/>
        <stp>YahooFinanceWatchList</stp>
        <stp>GOOG</stp>
        <stp>LastTradeDate</stp>
        <tr r="D6" s="2"/>
      </tp>
      <tp t="s">
        <v>194.0B</v>
        <stp/>
        <stp>YahooFinanceQuotes</stp>
        <stp>FB</stp>
        <stp>MarketCapitalization</stp>
        <tr r="AK5" s="1"/>
      </tp>
      <tp>
        <v>8.5470085470085461E-3</v>
        <stp/>
        <stp>YahooFinanceWatchList</stp>
        <stp>YHOO</stp>
        <stp>ChangeInPercent</stp>
        <tr r="I10" s="2"/>
      </tp>
      <tp t="s">
        <v/>
        <stp/>
        <stp>YahooFinanceQuotes</stp>
        <stp>YHOO</stp>
        <stp>ExDividendDate</stp>
        <tr r="AN10" s="1"/>
      </tp>
      <tp>
        <v>25.65</v>
        <stp/>
        <stp>YahooFinanceQuotes</stp>
        <stp>GOOG</stp>
        <stp>EPSEstimateCurrentYear</stp>
        <tr r="AG6" s="1"/>
      </tp>
      <tp>
        <v>45.77</v>
        <stp/>
        <stp>YahooFinanceHistoricalData</stp>
        <stp>MSFT</stp>
        <stp/>
        <stp>Low</stp>
        <tr r="G8" s="4"/>
      </tp>
      <tp>
        <v>75.86</v>
        <stp/>
        <stp>YahooFinanceHistoricalData</stp>
        <stp>FB</stp>
        <stp/>
        <stp>PrevClose</stp>
        <tr r="S5" s="4"/>
      </tp>
      <tp>
        <v>41943.650694444441</v>
        <stp/>
        <stp>YahooFinanceWatchList</stp>
        <stp>FB</stp>
        <stp>LastTradeDateTime</stp>
        <tr r="C5" s="2"/>
      </tp>
      <tp>
        <v>1</v>
        <stp/>
        <stp>YahooFinanceWatchList</stp>
        <stp>FB</stp>
        <stp>Last:tick</stp>
        <tr r="F5" s="2"/>
      </tp>
      <tp>
        <v>41943</v>
        <stp/>
        <stp>YahooFinanceWatchList</stp>
        <stp>LNKD</stp>
        <stp>LastTradeDate</stp>
        <tr r="D7" s="2"/>
      </tp>
      <tp>
        <v>0.65</v>
        <stp/>
        <stp>YahooFinanceWatchList</stp>
        <stp>AAPL</stp>
        <stp>LastTradeTime</stp>
        <tr r="E4" s="2"/>
      </tp>
      <tp>
        <v>0.65069444444444446</v>
        <stp/>
        <stp>YahooFinanceWatchList</stp>
        <stp>ORCL</stp>
        <stp>LastTradeTime</stp>
        <tr r="E9" s="2"/>
      </tp>
      <tp t="s">
        <v/>
        <stp/>
        <stp>YahooFinanceWatchList</stp>
        <stp>YHOO</stp>
        <stp>rtd_LastMessage</stp>
        <tr r="O10" s="2"/>
      </tp>
      <tp>
        <v>0</v>
        <stp/>
        <stp>YahooFinanceStocks</stp>
        <stp>FB</stp>
        <stp>rtd_LastError</stp>
        <tr r="I5" s="3"/>
      </tp>
      <tp>
        <v>69.419399999999996</v>
        <stp/>
        <stp>YahooFinanceQuotes</stp>
        <stp>FB</stp>
        <stp>TwoHundredDayMovingAverage</stp>
        <tr r="X5" s="1"/>
      </tp>
      <tp>
        <v>0</v>
        <stp/>
        <stp>YahooFinanceHistoricalData</stp>
        <stp>YHOO</stp>
        <stp/>
        <stp>rtd_LastError</stp>
        <tr r="V10" s="4"/>
      </tp>
      <tp>
        <v>74.98</v>
        <stp/>
        <stp>YahooFinanceQuotes</stp>
        <stp>FB</stp>
        <stp>Open</stp>
        <tr r="I5" s="1"/>
      </tp>
      <tp>
        <v>554.19000000000005</v>
        <stp/>
        <stp>YahooFinanceHistoricalData</stp>
        <stp>GOOG</stp>
        <stp/>
        <stp>PrevHigh</stp>
        <tr r="Q6" s="4"/>
      </tp>
      <tp>
        <v>41941</v>
        <stp/>
        <stp>YahooFinanceHistoricalData</stp>
        <stp>YHOO</stp>
        <stp/>
        <stp>PrevDate</stp>
        <tr r="O10" s="4"/>
      </tp>
      <tp>
        <v>195.5</v>
        <stp/>
        <stp>YahooFinanceHistoricalData</stp>
        <stp>LNKD</stp>
        <stp/>
        <stp>Low</stp>
        <tr r="G7" s="4"/>
      </tp>
      <tp>
        <v>41943.656712719909</v>
        <stp/>
        <stp>YahooFinanceOptions</stp>
        <stp>AAPL160115C00100000</stp>
        <stp>rtd_LastUpdate</stp>
        <tr r="S6" s="5"/>
      </tp>
      <tp>
        <v>41943.656712719909</v>
        <stp/>
        <stp>YahooFinanceOptions</stp>
        <stp>AAPL160115C00120000</stp>
        <stp>rtd_LastUpdate</stp>
        <tr r="S7" s="5"/>
      </tp>
      <tp>
        <v>41943.656792893518</v>
        <stp/>
        <stp>YahooFinanceOptions</stp>
        <stp>AAPL150117C00100000</stp>
        <stp>rtd_LastUpdate</stp>
        <tr r="S4" s="5"/>
      </tp>
      <tp>
        <v>41943.656792893518</v>
        <stp/>
        <stp>YahooFinanceOptions</stp>
        <stp>AAPL150117C00120000</stp>
        <stp>rtd_LastUpdate</stp>
        <tr r="S5" s="5"/>
      </tp>
      <tp>
        <v>41942</v>
        <stp/>
        <stp>YahooFinanceHistoricalData</stp>
        <stp>FB</stp>
        <stp/>
        <stp>Date</stp>
        <tr r="D5" s="4"/>
      </tp>
      <tp>
        <v>30043400</v>
        <stp/>
        <stp>YahooFinanceHistoricalData</stp>
        <stp>MSFT</stp>
        <stp/>
        <stp>Volume</stp>
        <tr r="N8" s="4"/>
      </tp>
      <tp>
        <v>0.20000000000000284</v>
        <stp/>
        <stp>YahooFinanceHistoricalData</stp>
        <stp>YHOO</stp>
        <stp/>
        <stp>Change</stp>
        <tr r="I10" s="4"/>
      </tp>
      <tp>
        <v>1482001</v>
        <stp/>
        <stp>YahooFinanceQuotes</stp>
        <stp>GOOG</stp>
        <stp>Volume</stp>
        <tr r="L6" s="1"/>
      </tp>
      <tp>
        <v>9644200</v>
        <stp/>
        <stp>YahooFinanceHistoricalData</stp>
        <stp>ORCL</stp>
        <stp/>
        <stp>Volume</stp>
        <tr r="N9" s="4"/>
      </tp>
      <tp>
        <v>202.99</v>
        <stp/>
        <stp>YahooFinanceHistoricalData</stp>
        <stp>LNKD</stp>
        <stp/>
        <stp>PrevHigh</stp>
        <tr r="Q7" s="4"/>
      </tp>
      <tp>
        <v>-1.75</v>
        <stp/>
        <stp>YahooFinanceHistoricalData</stp>
        <stp>FB</stp>
        <stp/>
        <stp>AdjChange</stp>
        <tr r="L5" s="4"/>
      </tp>
      <tp>
        <v>46.05</v>
        <stp/>
        <stp>YahooFinanceHistoricalData</stp>
        <stp>MSFT</stp>
        <stp/>
        <stp>AdjClose</stp>
        <tr r="K8" s="4"/>
      </tp>
      <tp>
        <v>41941</v>
        <stp/>
        <stp>YahooFinanceHistoricalData</stp>
        <stp>AAPL</stp>
        <stp/>
        <stp>PrevDate</stp>
        <tr r="O4" s="4"/>
      </tp>
      <tp>
        <v>41941</v>
        <stp/>
        <stp>YahooFinanceHistoricalData</stp>
        <stp>ORCL</stp>
        <stp/>
        <stp>PrevDate</stp>
        <tr r="O9" s="4"/>
      </tp>
      <tp>
        <v>0</v>
        <stp/>
        <stp>YahooFinanceQuotes</stp>
        <stp>FB</stp>
        <stp>rtd_LastError</stp>
        <tr r="AZ5" s="1"/>
      </tp>
      <tp>
        <v>41943</v>
        <stp/>
        <stp>YahooFinanceWatchList</stp>
        <stp>YHOO</stp>
        <stp>LastTradeDate</stp>
        <tr r="D10" s="2"/>
      </tp>
      <tp>
        <v>0.65</v>
        <stp/>
        <stp>YahooFinanceWatchList</stp>
        <stp>GOOG</stp>
        <stp>LastTradeTime</stp>
        <tr r="E6" s="2"/>
      </tp>
      <tp>
        <v>45.13</v>
        <stp/>
        <stp>YahooFinanceHistoricalData</stp>
        <stp>YHOO</stp>
        <stp/>
        <stp>Low</stp>
        <tr r="G10" s="4"/>
      </tp>
      <tp>
        <v>543.51</v>
        <stp/>
        <stp>YahooFinanceHistoricalData</stp>
        <stp>GOOG</stp>
        <stp/>
        <stp>Low</stp>
        <tr r="G6" s="4"/>
      </tp>
      <tp>
        <v>3.3900000000000148</v>
        <stp/>
        <stp>YahooFinanceHistoricalData</stp>
        <stp>LNKD</stp>
        <stp/>
        <stp>Change</stp>
        <tr r="I7" s="4"/>
      </tp>
      <tp>
        <v>3.05</v>
        <stp/>
        <stp>YahooFinanceQuotes</stp>
        <stp>ORCL</stp>
        <stp>EPSEstimateCurrentYear</stp>
        <tr r="AG9" s="1"/>
      </tp>
      <tp>
        <v>33267228</v>
        <stp/>
        <stp>YahooFinanceQuotes</stp>
        <stp>AAPL</stp>
        <stp>Volume</stp>
        <tr r="L4" s="1"/>
      </tp>
      <tp>
        <v>8.1323611890072919E-3</v>
        <stp/>
        <stp>YahooFinanceWatchList</stp>
        <stp>AAPL</stp>
        <stp>ChangeInPercent</stp>
        <tr r="I4" s="2"/>
      </tp>
      <tp>
        <v>0.9799999999999045</v>
        <stp/>
        <stp>YahooFinanceHistoricalData</stp>
        <stp>GOOG</stp>
        <stp/>
        <stp>Change</stp>
        <tr r="I6" s="4"/>
      </tp>
      <tp t="s">
        <v/>
        <stp/>
        <stp>YahooFinanceWatchList</stp>
        <stp>AAPL</stp>
        <stp>rtd_LastMessage</stp>
        <tr r="O4" s="2"/>
      </tp>
      <tp>
        <v>41943.660714548612</v>
        <stp/>
        <stp>YahooFinanceWatchList</stp>
        <stp>YHOO</stp>
        <stp>rtd_LastUpdate</stp>
        <tr r="P10" s="2"/>
      </tp>
      <tp>
        <v>2.68</v>
        <stp/>
        <stp>YahooFinanceQuotes</stp>
        <stp>MSFT</stp>
        <stp>EPSEstimateCurrentYear</stp>
        <tr r="AG8" s="1"/>
      </tp>
      <tp>
        <v>41943</v>
        <stp/>
        <stp>YahooFinanceWatchList</stp>
        <stp>ORCL</stp>
        <stp>LastTradeDate</stp>
        <tr r="D9" s="2"/>
      </tp>
      <tp>
        <v>41943</v>
        <stp/>
        <stp>YahooFinanceWatchList</stp>
        <stp>AAPL</stp>
        <stp>LastTradeDate</stp>
        <tr r="D4" s="2"/>
      </tp>
      <tp>
        <v>0.65</v>
        <stp/>
        <stp>YahooFinanceWatchList</stp>
        <stp>LNKD</stp>
        <stp>LastTradeTime</stp>
        <tr r="E7" s="2"/>
      </tp>
      <tp>
        <v>0.39500000000000002</v>
        <stp/>
        <stp>YahooFinanceQuotes</stp>
        <stp>YHOO</stp>
        <stp>Change</stp>
        <tr r="G10" s="1"/>
      </tp>
      <tp>
        <v>1.87</v>
        <stp/>
        <stp>YahooFinanceQuotes</stp>
        <stp>LNKD</stp>
        <stp>EPSEstimateCurrentYear</stp>
        <tr r="AG7" s="1"/>
      </tp>
      <tp>
        <v>37.1051</v>
        <stp/>
        <stp>YahooFinanceQuotes</stp>
        <stp>YHOO</stp>
        <stp>TwoHundredDayMovingAverage</stp>
        <tr r="X10" s="1"/>
      </tp>
      <tp>
        <v>30276100</v>
        <stp/>
        <stp>YahooFinanceHistoricalData</stp>
        <stp>MSFT</stp>
        <stp/>
        <stp>PrevVolume</stp>
        <tr r="U8" s="4"/>
      </tp>
      <tp>
        <v>-9.89</v>
        <stp/>
        <stp>YahooFinanceQuotes</stp>
        <stp>LNKD</stp>
        <stp>ChangeFromYearHigh</stp>
        <tr r="S7" s="1"/>
      </tp>
      <tp>
        <v>205.547</v>
        <stp/>
        <stp>YahooFinanceQuotes</stp>
        <stp>LNKD</stp>
        <stp>FiftydayMovingAverage</stp>
        <tr r="W7" s="1"/>
      </tp>
      <tp>
        <v>46.32</v>
        <stp/>
        <stp>YahooFinanceHistoricalData</stp>
        <stp>MSFT</stp>
        <stp/>
        <stp>Open</stp>
        <tr r="E8" s="4"/>
      </tp>
      <tp t="s">
        <v/>
        <stp/>
        <stp>YahooFinanceQuotes</stp>
        <stp>LNKD</stp>
        <stp>rtd_LastMessage</stp>
        <tr r="BA7" s="1"/>
      </tp>
      <tp>
        <v>-0.76</v>
        <stp/>
        <stp>YahooFinanceQuotes</stp>
        <stp>MSFT</stp>
        <stp>ChangeFromYearHigh</stp>
        <tr r="S8" s="1"/>
      </tp>
      <tp>
        <v>10923800</v>
        <stp/>
        <stp>YahooFinanceHistoricalData</stp>
        <stp>ORCL</stp>
        <stp/>
        <stp>PrevVolume</stp>
        <tr r="U9" s="4"/>
      </tp>
      <tp t="s">
        <v/>
        <stp/>
        <stp>YahooFinanceQuotes</stp>
        <stp>AAPL</stp>
        <stp>Commission</stp>
        <tr r="AX4" s="1"/>
      </tp>
      <tp>
        <v>107.35</v>
        <stp/>
        <stp>YahooFinanceHistoricalData</stp>
        <stp>AAPL</stp>
        <stp/>
        <stp>High</stp>
        <tr r="F4" s="4"/>
      </tp>
      <tp>
        <v>232.23</v>
        <stp/>
        <stp>YahooFinanceWatchList</stp>
        <stp>LNKD</stp>
        <stp>High</stp>
        <tr r="K7" s="2"/>
      </tp>
      <tp>
        <v>38.659999999999997</v>
        <stp/>
        <stp>YahooFinanceHistoricalData</stp>
        <stp>ORCL</stp>
        <stp/>
        <stp>High</stp>
        <tr r="F9" s="4"/>
      </tp>
      <tp>
        <v>73.78</v>
        <stp/>
        <stp>YahooFinanceQuotes</stp>
        <stp>LNKD</stp>
        <stp>PriceEPSEstimateNextYear</stp>
        <tr r="AT7" s="1"/>
      </tp>
      <tp>
        <v>41942</v>
        <stp/>
        <stp>YahooFinanceHistoricalData</stp>
        <stp>LNKD</stp>
        <stp/>
        <stp>Date</stp>
        <tr r="D7" s="4"/>
      </tp>
      <tp>
        <v>38.948999999999998</v>
        <stp/>
        <stp>YahooFinanceWatchList</stp>
        <stp>ORCL</stp>
        <stp>Last</stp>
        <tr r="G9" s="2"/>
      </tp>
      <tp>
        <v>38.58</v>
        <stp/>
        <stp>YahooFinanceHistoricalData</stp>
        <stp>ORCL</stp>
        <stp/>
        <stp>PrevClose</stp>
        <tr r="S9" s="4"/>
      </tp>
      <tp t="s">
        <v/>
        <stp/>
        <stp>YahooFinanceStocks</stp>
        <stp>FB</stp>
        <stp>rtd_LastMessage</stp>
        <tr r="J5" s="3"/>
      </tp>
      <tp t="s">
        <v/>
        <stp/>
        <stp>YahooFinanceQuotes</stp>
        <stp>FB</stp>
        <stp>rtd_LastMessage</stp>
        <tr r="BA5" s="1"/>
      </tp>
      <tp>
        <v>32.06</v>
        <stp/>
        <stp>YahooFinanceQuotes</stp>
        <stp>YHOO</stp>
        <stp>YearLow</stp>
        <tr r="Q10" s="1"/>
      </tp>
      <tp>
        <v>-0.35999999999999943</v>
        <stp/>
        <stp>YahooFinanceHistoricalData</stp>
        <stp>AAPL</stp>
        <stp/>
        <stp>AdjChange</stp>
        <tr r="L4" s="4"/>
      </tp>
      <tp t="s">
        <v/>
        <stp/>
        <stp>YahooFinanceQuotes</stp>
        <stp>GOOG</stp>
        <stp>rtd_LastMessage</stp>
        <tr r="BA6" s="1"/>
      </tp>
      <tp>
        <v>41942</v>
        <stp/>
        <stp>YahooFinanceHistoricalData</stp>
        <stp>GOOG</stp>
        <stp/>
        <stp>Date</stp>
        <tr r="D6" s="4"/>
      </tp>
      <tp>
        <v>45.84</v>
        <stp/>
        <stp>YahooFinanceHistoricalData</stp>
        <stp>YHOO</stp>
        <stp/>
        <stp>High</stp>
        <tr r="F10" s="4"/>
      </tp>
      <tp>
        <v>1.1899999999999999E-2</v>
        <stp/>
        <stp>YahooFinanceQuotes</stp>
        <stp>FB</stp>
        <stp>ChangeInPercent</stp>
        <tr r="H5" s="1"/>
      </tp>
      <tp t="s">
        <v/>
        <stp/>
        <stp>YahooFinanceQuotes</stp>
        <stp>FB</stp>
        <stp>DividendPayDate</stp>
        <tr r="AO5" s="1"/>
      </tp>
      <tp>
        <v>199.51</v>
        <stp/>
        <stp>YahooFinanceHistoricalData</stp>
        <stp>LNKD</stp>
        <stp/>
        <stp>PrevClose</stp>
        <tr r="S7" s="4"/>
      </tp>
      <tp>
        <v>1.44E-2</v>
        <stp/>
        <stp>YahooFinanceQuotes</stp>
        <stp>GOOG</stp>
        <stp>ChangeInPercent</stp>
        <tr r="H6" s="1"/>
      </tp>
      <tp t="s">
        <v/>
        <stp/>
        <stp>YahooFinanceQuotes</stp>
        <stp>GOOG</stp>
        <stp>DividendPayDate</stp>
        <tr r="AO6" s="1"/>
      </tp>
      <tp>
        <v>-4.2549999999999999</v>
        <stp/>
        <stp>YahooFinanceQuotes</stp>
        <stp>ORCL</stp>
        <stp>ChangeFromYearHigh</stp>
        <tr r="S9" s="1"/>
      </tp>
      <tp>
        <v>1.7</v>
        <stp/>
        <stp>YahooFinanceQuotes</stp>
        <stp>AAPL</stp>
        <stp>ShortRatio</stp>
        <tr r="O4" s="1"/>
      </tp>
      <tp>
        <v>108.04</v>
        <stp/>
        <stp>YahooFinanceWatchList</stp>
        <stp>AAPL</stp>
        <stp>Open</stp>
        <tr r="J4" s="2"/>
      </tp>
      <tp>
        <v>560.14200000000005</v>
        <stp/>
        <stp>YahooFinanceQuotes</stp>
        <stp>GOOG</stp>
        <stp>FiftydayMovingAverage</stp>
        <tr r="W6" s="1"/>
      </tp>
      <tp>
        <v>76.88</v>
        <stp/>
        <stp>YahooFinanceHistoricalData</stp>
        <stp>FB</stp>
        <stp/>
        <stp>PrevHigh</stp>
        <tr r="Q5" s="4"/>
      </tp>
      <tp>
        <v>46.62</v>
        <stp/>
        <stp>YahooFinanceHistoricalData</stp>
        <stp>MSFT</stp>
        <stp/>
        <stp>PrevClose</stp>
        <tr r="S8" s="4"/>
      </tp>
      <tp>
        <v>41943</v>
        <stp/>
        <stp>YahooFinanceWatchList</stp>
        <stp>YHOO</stp>
        <stp>rtd_LastUpdateDate</stp>
        <tr r="Q10" s="2"/>
      </tp>
      <tp>
        <v>0.13</v>
        <stp/>
        <stp>YahooFinanceQuotes</stp>
        <stp>LNKD</stp>
        <stp>ChangeInPercent</stp>
        <tr r="H7" s="1"/>
      </tp>
      <tp t="s">
        <v/>
        <stp/>
        <stp>YahooFinanceStocks</stp>
        <stp>AAPL</stp>
        <stp>rtd_LastMessage</stp>
        <tr r="J4" s="3"/>
      </tp>
      <tp t="s">
        <v/>
        <stp/>
        <stp>YahooFinanceQuotes</stp>
        <stp>LNKD</stp>
        <stp>DividendPayDate</stp>
        <tr r="AO7" s="1"/>
      </tp>
      <tp>
        <v>4.43</v>
        <stp/>
        <stp>YahooFinanceQuotes</stp>
        <stp>ORCL</stp>
        <stp>PriceSales</stp>
        <tr r="AR9" s="1"/>
      </tp>
      <tp>
        <v>46.81</v>
        <stp/>
        <stp>YahooFinanceWatchList</stp>
        <stp>MSFT</stp>
        <stp>Last</stp>
        <tr r="G8" s="2"/>
      </tp>
      <tp>
        <v>1</v>
        <stp/>
        <stp>YahooFinanceQuotes</stp>
        <stp>FB</stp>
        <stp>Last:tick</stp>
        <tr r="E5" s="1"/>
      </tp>
      <tp>
        <v>81.16</v>
        <stp/>
        <stp>YahooFinanceQuotes</stp>
        <stp>FB</stp>
        <stp>YearHigh</stp>
        <tr r="P5" s="1"/>
      </tp>
      <tp>
        <v>15.95</v>
        <stp/>
        <stp>YahooFinanceOptions</stp>
        <stp>AAPL</stp>
        <stp>42384</stp>
        <stp>100</stp>
        <stp>CALL</stp>
        <stp>Ask</stp>
        <tr r="M6" s="6"/>
      </tp>
      <tp>
        <v>1.1000000000000001</v>
        <stp/>
        <stp>YahooFinanceQuotes</stp>
        <stp>GOOG</stp>
        <stp>ShortRatio</stp>
        <tr r="O6" s="1"/>
      </tp>
      <tp>
        <v>559.57000000000005</v>
        <stp/>
        <stp>YahooFinanceWatchList</stp>
        <stp>GOOG</stp>
        <stp>High</stp>
        <tr r="K6" s="2"/>
      </tp>
      <tp>
        <v>41943</v>
        <stp/>
        <stp>YahooFinanceOptions</stp>
        <stp>AAPL150117C00100000</stp>
        <stp>rtd_LastUpdateDate</stp>
        <tr r="T4" s="5"/>
      </tp>
      <tp>
        <v>41943</v>
        <stp/>
        <stp>YahooFinanceOptions</stp>
        <stp>AAPL150117C00120000</stp>
        <stp>rtd_LastUpdateDate</stp>
        <tr r="T5" s="5"/>
      </tp>
      <tp>
        <v>41943</v>
        <stp/>
        <stp>YahooFinanceOptions</stp>
        <stp>AAPL160115C00100000</stp>
        <stp>rtd_LastUpdateDate</stp>
        <tr r="T6" s="5"/>
      </tp>
      <tp>
        <v>41943</v>
        <stp/>
        <stp>YahooFinanceOptions</stp>
        <stp>AAPL160115C00120000</stp>
        <stp>rtd_LastUpdateDate</stp>
        <tr r="T7" s="5"/>
      </tp>
      <tp>
        <v>46.52</v>
        <stp/>
        <stp>YahooFinanceWatchList</stp>
        <stp>YHOO</stp>
        <stp>High</stp>
        <tr r="K10" s="2"/>
      </tp>
      <tp>
        <v>18.72</v>
        <stp/>
        <stp>YahooFinanceQuotes</stp>
        <stp>GOOG</stp>
        <stp>PriceEPSEstimateNextYear</stp>
        <tr r="AT6" s="1"/>
      </tp>
      <tp>
        <v>37.71</v>
        <stp/>
        <stp>YahooFinanceQuotes</stp>
        <stp>YHOO</stp>
        <stp>PriceEPSEstimateNextYear</stp>
        <tr r="AT10" s="1"/>
      </tp>
      <tp t="s">
        <v>Internet Information Providers</v>
        <stp/>
        <stp>YahooFinanceStocks</stp>
        <stp>FB</stp>
        <stp>Industry</stp>
        <tr r="E5" s="3"/>
      </tp>
      <tp>
        <v>7.45</v>
        <stp/>
        <stp>YahooFinanceOptions</stp>
        <stp>AAPL</stp>
        <stp>42384</stp>
        <stp>120</stp>
        <stp>CALL</stp>
        <stp>Bid</stp>
        <tr r="L7" s="6"/>
      </tp>
      <tp>
        <v>8.6999999999999994E-3</v>
        <stp/>
        <stp>YahooFinanceQuotes</stp>
        <stp>YHOO</stp>
        <stp>ChangeInPercent</stp>
        <tr r="H10" s="1"/>
      </tp>
      <tp t="s">
        <v/>
        <stp/>
        <stp>YahooFinanceQuotes</stp>
        <stp>YHOO</stp>
        <stp>DividendPayDate</stp>
        <tr r="AO10" s="1"/>
      </tp>
      <tp>
        <v>0.52950000000000008</v>
        <stp/>
        <stp>YahooFinanceQuotes</stp>
        <stp>AAPL</stp>
        <stp>PercentChangeFromYearLow</stp>
        <tr r="V4" s="1"/>
      </tp>
      <tp>
        <v>4.1500000000000004</v>
        <stp/>
        <stp>YahooFinanceQuotes</stp>
        <stp>MSFT</stp>
        <stp>PriceSales</stp>
        <tr r="AR8" s="1"/>
      </tp>
      <tp>
        <v>6337</v>
        <stp/>
        <stp>YahooFinanceStocks</stp>
        <stp>FB</stp>
        <stp>FullTimeEmployees</stp>
        <tr r="F5" s="3"/>
      </tp>
      <tp>
        <v>43.55</v>
        <stp/>
        <stp>YahooFinanceQuotes</stp>
        <stp>FB</stp>
        <stp>YearLow</stp>
        <tr r="Q5" s="1"/>
      </tp>
      <tp>
        <v>502.8</v>
        <stp/>
        <stp>YahooFinanceQuotes</stp>
        <stp>GOOG</stp>
        <stp>YearLow</stp>
        <tr r="Q6" s="1"/>
      </tp>
      <tp t="s">
        <v/>
        <stp/>
        <stp>YahooFinanceQuotes</stp>
        <stp>YHOO</stp>
        <stp>rtd_LastMessage</stp>
        <tr r="BA10" s="1"/>
      </tp>
      <tp>
        <v>7.55</v>
        <stp/>
        <stp>YahooFinanceOptions</stp>
        <stp>AAPL</stp>
        <stp>42384</stp>
        <stp>120</stp>
        <stp>CALL</stp>
        <stp>Ask</stp>
        <tr r="M7" s="6"/>
      </tp>
      <tp>
        <v>13.5</v>
        <stp/>
        <stp>YahooFinanceQuotes</stp>
        <stp>LNKD</stp>
        <stp>PriceSales</stp>
        <tr r="AR7" s="1"/>
      </tp>
      <tp t="s">
        <v/>
        <stp/>
        <stp>YahooFinanceQuotes</stp>
        <stp>GOOG</stp>
        <stp>Commission</stp>
        <tr r="AX6" s="1"/>
      </tp>
      <tp>
        <v>15.75</v>
        <stp/>
        <stp>YahooFinanceOptions</stp>
        <stp>AAPL</stp>
        <stp>42384</stp>
        <stp>100</stp>
        <stp>CALL</stp>
        <stp>Bid</stp>
        <tr r="L6" s="6"/>
      </tp>
      <tp>
        <v>6.5720999999999998</v>
        <stp/>
        <stp>YahooFinanceQuotes</stp>
        <stp>AAPL</stp>
        <stp>ChangeFromFiftyDayMovingAverage</stp>
        <tr r="Y4" s="1"/>
      </tp>
      <tp>
        <v>136.02000000000001</v>
        <stp/>
        <stp>YahooFinanceQuotes</stp>
        <stp>LNKD</stp>
        <stp>YearLow</stp>
        <tr r="Q7" s="1"/>
      </tp>
      <tp>
        <v>0.88</v>
        <stp/>
        <stp>YahooFinanceQuotes</stp>
        <stp>FB</stp>
        <stp>Change</stp>
        <tr r="G5" s="1"/>
      </tp>
      <tp>
        <v>0.9799999999999045</v>
        <stp/>
        <stp>YahooFinanceHistoricalData</stp>
        <stp>GOOG</stp>
        <stp/>
        <stp>AdjChange</stp>
        <tr r="L6" s="4"/>
      </tp>
      <tp>
        <v>-7.5999999999999998E-2</v>
        <stp/>
        <stp>YahooFinanceQuotes</stp>
        <stp>FB</stp>
        <stp>PercentChangeFromYearHigh</stp>
        <tr r="U5" s="1"/>
      </tp>
      <tp>
        <v>38.985700000000001</v>
        <stp/>
        <stp>YahooFinanceQuotes</stp>
        <stp>ORCL</stp>
        <stp>FiftydayMovingAverage</stp>
        <tr r="W9" s="1"/>
      </tp>
      <tp>
        <v>101.268</v>
        <stp/>
        <stp>YahooFinanceQuotes</stp>
        <stp>AAPL</stp>
        <stp>FiftydayMovingAverage</stp>
        <tr r="W4" s="1"/>
      </tp>
      <tp>
        <v>23.733000000000001</v>
        <stp/>
        <stp>YahooFinanceQuotes</stp>
        <stp>LNKD</stp>
        <stp>ChangeFromFiftyDayMovingAverage</stp>
        <tr r="Y7" s="1"/>
      </tp>
      <tp>
        <v>70.507099999999994</v>
        <stp/>
        <stp>YahooFinanceQuotes</stp>
        <stp>AAPL</stp>
        <stp>YearLow</stp>
        <tr r="Q4" s="1"/>
      </tp>
      <tp>
        <v>115.53</v>
        <stp/>
        <stp>YahooFinanceQuotes</stp>
        <stp>AAPL</stp>
        <stp>OneYrTargetPrice</stp>
        <tr r="AD4" s="1"/>
      </tp>
      <tp>
        <v>39.020000000000003</v>
        <stp/>
        <stp>YahooFinanceWatchList</stp>
        <stp>ORCL</stp>
        <stp>High</stp>
        <tr r="K9" s="2"/>
      </tp>
      <tp>
        <v>203.74</v>
        <stp/>
        <stp>YahooFinanceHistoricalData</stp>
        <stp>LNKD</stp>
        <stp/>
        <stp>High</stp>
        <tr r="F7" s="4"/>
      </tp>
      <tp>
        <v>41942</v>
        <stp/>
        <stp>YahooFinanceHistoricalData</stp>
        <stp>AAPL</stp>
        <stp/>
        <stp>Date</stp>
        <tr r="D4" s="4"/>
      </tp>
      <tp t="s">
        <v>74.45 - 75.70</v>
        <stp/>
        <stp>YahooFinanceQuotes</stp>
        <stp>FB</stp>
        <stp>DaysRange</stp>
        <tr r="M5" s="1"/>
      </tp>
      <tp>
        <v>46.62</v>
        <stp/>
        <stp>YahooFinanceHistoricalData</stp>
        <stp>MSFT</stp>
        <stp/>
        <stp>PrevAdjClose</stp>
        <tr r="T8" s="4"/>
      </tp>
      <tp>
        <v>229.32</v>
        <stp/>
        <stp>YahooFinanceWatchList</stp>
        <stp>LNKD</stp>
        <stp>Last</stp>
        <tr r="G7" s="2"/>
      </tp>
      <tp>
        <v>11.63</v>
        <stp/>
        <stp>YahooFinanceQuotes</stp>
        <stp>ORCL</stp>
        <stp>PriceEPSEstimateNextYear</stp>
        <tr r="AT9" s="1"/>
      </tp>
      <tp>
        <v>41942</v>
        <stp/>
        <stp>YahooFinanceHistoricalData</stp>
        <stp>ORCL</stp>
        <stp/>
        <stp>Date</stp>
        <tr r="D9" s="4"/>
      </tp>
      <tp>
        <v>549.33000000000004</v>
        <stp/>
        <stp>YahooFinanceHistoricalData</stp>
        <stp>GOOG</stp>
        <stp/>
        <stp>PrevClose</stp>
        <tr r="S6" s="4"/>
      </tp>
      <tp>
        <v>-1.9669000000000001</v>
        <stp/>
        <stp>YahooFinanceQuotes</stp>
        <stp>FB</stp>
        <stp>ChangeFromFiftyDayMovingAverage</stp>
        <tr r="Y5" s="1"/>
      </tp>
      <tp>
        <v>-1.91</v>
        <stp/>
        <stp>YahooFinanceQuotes</stp>
        <stp>GOOG</stp>
        <stp>ChangeFromFiftyDayMovingAverage</stp>
        <tr r="Y6" s="1"/>
      </tp>
      <tp>
        <v>74.45</v>
        <stp/>
        <stp>YahooFinanceWatchList</stp>
        <stp>FB</stp>
        <stp>Low</stp>
        <tr r="L5" s="2"/>
      </tp>
      <tp>
        <v>3.43</v>
        <stp/>
        <stp>YahooFinanceQuotes</stp>
        <stp>AAPL</stp>
        <stp>PriceSales</stp>
        <tr r="AR4" s="1"/>
      </tp>
      <tp>
        <v>552.79999999999995</v>
        <stp/>
        <stp>YahooFinanceHistoricalData</stp>
        <stp>GOOG</stp>
        <stp/>
        <stp>High</stp>
        <tr r="F6" s="4"/>
      </tp>
      <tp>
        <v>41942</v>
        <stp/>
        <stp>YahooFinanceHistoricalData</stp>
        <stp>YHOO</stp>
        <stp/>
        <stp>Date</stp>
        <tr r="D10" s="4"/>
      </tp>
      <tp>
        <v>0</v>
        <stp/>
        <stp>YahooFinanceWatchList</stp>
        <stp>FB</stp>
        <stp>rtd_LastError</stp>
        <tr r="N5" s="2"/>
      </tp>
      <tp>
        <v>-1.2226512226512276E-2</v>
        <stp/>
        <stp>YahooFinanceHistoricalData</stp>
        <stp>MSFT</stp>
        <stp/>
        <stp>AdjChangeInPercent</stp>
        <tr r="M8" s="4"/>
      </tp>
      <tp t="s">
        <v/>
        <stp/>
        <stp>YahooFinanceStocks</stp>
        <stp>YHOO</stp>
        <stp>rtd_LastMessage</stp>
        <tr r="J10" s="3"/>
      </tp>
      <tp>
        <v>-46.597999999999999</v>
        <stp/>
        <stp>YahooFinanceQuotes</stp>
        <stp>GOOG</stp>
        <stp>ChangeFromYearHigh</stp>
        <tr r="S6" s="1"/>
      </tp>
      <tp>
        <v>41941</v>
        <stp/>
        <stp>YahooFinanceHistoricalData</stp>
        <stp>FB</stp>
        <stp/>
        <stp>PrevDate</stp>
        <tr r="O5" s="4"/>
      </tp>
      <tp>
        <v>41.097799999999999</v>
        <stp/>
        <stp>YahooFinanceQuotes</stp>
        <stp>YHOO</stp>
        <stp>FiftydayMovingAverage</stp>
        <tr r="W10" s="1"/>
      </tp>
      <tp>
        <v>-2.0736132711248745E-3</v>
        <stp/>
        <stp>YahooFinanceHistoricalData</stp>
        <stp>ORCL</stp>
        <stp/>
        <stp>AdjChangeInPercent</stp>
        <tr r="M9" s="4"/>
      </tp>
      <tp>
        <v>0.66071454861111112</v>
        <stp/>
        <stp>YahooFinanceWatchList</stp>
        <stp>YHOO</stp>
        <stp>rtd_LastUpdateTime</stp>
        <tr r="R10" s="2"/>
      </tp>
      <tp>
        <v>5.5</v>
        <stp/>
        <stp>YahooFinanceQuotes</stp>
        <stp>GOOG</stp>
        <stp>PriceSales</stp>
        <tr r="AR6" s="1"/>
      </tp>
      <tp t="s">
        <v/>
        <stp/>
        <stp>YahooFinanceQuotes</stp>
        <stp>LNKD</stp>
        <stp>Commission</stp>
        <tr r="AX7" s="1"/>
      </tp>
      <tp>
        <v>14.67</v>
        <stp/>
        <stp>YahooFinanceQuotes</stp>
        <stp>MSFT</stp>
        <stp>PriceEPSEstimateNextYear</stp>
        <tr r="AT8" s="1"/>
      </tp>
      <tp>
        <v>46.97</v>
        <stp/>
        <stp>YahooFinanceWatchList</stp>
        <stp>MSFT</stp>
        <stp>High</stp>
        <tr r="K8" s="2"/>
      </tp>
      <tp t="s">
        <v>Nov 13</v>
        <stp/>
        <stp>YahooFinanceQuotes</stp>
        <stp>AAPL</stp>
        <stp>DividendPayDate</stp>
        <tr r="AO4" s="1"/>
      </tp>
      <tp t="s">
        <v/>
        <stp/>
        <stp>YahooFinanceStocks</stp>
        <stp>LNKD</stp>
        <stp>rtd_LastMessage</stp>
        <tr r="J7" s="3"/>
      </tp>
      <tp>
        <v>8.0000000000000002E-3</v>
        <stp/>
        <stp>YahooFinanceQuotes</stp>
        <stp>AAPL</stp>
        <stp>ChangeInPercent</stp>
        <tr r="H4" s="1"/>
      </tp>
      <tp>
        <v>3.3900000000000148</v>
        <stp/>
        <stp>YahooFinanceHistoricalData</stp>
        <stp>LNKD</stp>
        <stp/>
        <stp>AdjChange</stp>
        <tr r="L7" s="4"/>
      </tp>
      <tp t="s">
        <v/>
        <stp/>
        <stp>YahooFinanceQuotes</stp>
        <stp>FB</stp>
        <stp>ExDividendDate</stp>
        <tr r="AN5" s="1"/>
      </tp>
      <tp>
        <v>0.56999999999999995</v>
        <stp/>
        <stp>YahooFinanceOptions</stp>
        <stp>AAPL</stp>
        <stp>42021</stp>
        <stp>120</stp>
        <stp>CALL</stp>
        <stp>Ask</stp>
        <tr r="M5" s="6"/>
      </tp>
      <tp>
        <v>1.2</v>
        <stp/>
        <stp>YahooFinanceQuotes</stp>
        <stp>ORCL</stp>
        <stp>ShortRatio</stp>
        <tr r="O9" s="1"/>
      </tp>
      <tp t="s">
        <v/>
        <stp/>
        <stp>YahooFinanceQuotes</stp>
        <stp>MSFT</stp>
        <stp>Commission</stp>
        <tr r="AX8" s="1"/>
      </tp>
      <tp>
        <v>0.47010000000000002</v>
        <stp/>
        <stp>YahooFinanceQuotes</stp>
        <stp>AAPL</stp>
        <stp>ChangeFromYearHigh</stp>
        <tr r="S4" s="1"/>
      </tp>
      <tp>
        <v>558.23</v>
        <stp/>
        <stp>YahooFinanceWatchList</stp>
        <stp>GOOG</stp>
        <stp>Last</stp>
        <tr r="G6" s="2"/>
      </tp>
      <tp>
        <v>0.65679289351851855</v>
        <stp/>
        <stp>YahooFinanceOptions</stp>
        <stp>AAPL150117C00100000</stp>
        <stp>rtd_LastUpdateTime</stp>
        <tr r="U4" s="5"/>
      </tp>
      <tp>
        <v>0.65679289351851855</v>
        <stp/>
        <stp>YahooFinanceOptions</stp>
        <stp>AAPL150117C00120000</stp>
        <stp>rtd_LastUpdateTime</stp>
        <tr r="U5" s="5"/>
      </tp>
      <tp>
        <v>0.65671271990740743</v>
        <stp/>
        <stp>YahooFinanceOptions</stp>
        <stp>AAPL160115C00100000</stp>
        <stp>rtd_LastUpdateTime</stp>
        <tr r="U6" s="5"/>
      </tp>
      <tp>
        <v>0.65671271990740743</v>
        <stp/>
        <stp>YahooFinanceOptions</stp>
        <stp>AAPL160115C00120000</stp>
        <stp>rtd_LastUpdateTime</stp>
        <tr r="U7" s="5"/>
      </tp>
      <tp>
        <v>46.02</v>
        <stp/>
        <stp>YahooFinanceWatchList</stp>
        <stp>YHOO</stp>
        <stp>Last</stp>
        <tr r="G10" s="2"/>
      </tp>
      <tp>
        <v>-0.57000000000000028</v>
        <stp/>
        <stp>YahooFinanceHistoricalData</stp>
        <stp>MSFT</stp>
        <stp/>
        <stp>AdjChange</stp>
        <tr r="L8" s="4"/>
      </tp>
      <tp>
        <v>8.6999999999999993</v>
        <stp/>
        <stp>YahooFinanceOptions</stp>
        <stp>AAPL</stp>
        <stp>42021</stp>
        <stp>100</stp>
        <stp>CALL</stp>
        <stp>Bid</stp>
        <tr r="L4" s="6"/>
      </tp>
      <tp t="s">
        <v/>
        <stp/>
        <stp>YahooFinanceStocks</stp>
        <stp>GOOG</stp>
        <stp>rtd_LastMessage</stp>
        <tr r="J6" s="3"/>
      </tp>
      <tp>
        <v>4.5999999999999996</v>
        <stp/>
        <stp>YahooFinanceQuotes</stp>
        <stp>LNKD</stp>
        <stp>ShortRatio</stp>
        <tr r="O7" s="1"/>
      </tp>
      <tp>
        <v>1.23</v>
        <stp/>
        <stp>YahooFinanceQuotes</stp>
        <stp>AAPL</stp>
        <stp>PEGRatio</stp>
        <tr r="AF4" s="1"/>
      </tp>
      <tp>
        <v>1</v>
        <stp/>
        <stp>YahooFinanceWatchList</stp>
        <stp>MSFT</stp>
        <stp>Last:tick</stp>
        <tr r="F8" s="2"/>
      </tp>
      <tp>
        <v>4.9272</v>
        <stp/>
        <stp>YahooFinanceQuotes</stp>
        <stp>YHOO</stp>
        <stp>ChangeFromFiftyDayMovingAverage</stp>
        <tr r="Y10" s="1"/>
      </tp>
      <tp>
        <v>41943.650694444441</v>
        <stp/>
        <stp>YahooFinanceWatchList</stp>
        <stp>MSFT</stp>
        <stp>LastTradeDateTime</stp>
        <tr r="C8" s="2"/>
      </tp>
      <tp>
        <v>8.8000000000000007</v>
        <stp/>
        <stp>YahooFinanceOptions</stp>
        <stp>AAPL</stp>
        <stp>42021</stp>
        <stp>100</stp>
        <stp>CALL</stp>
        <stp>Ask</stp>
        <tr r="M4" s="6"/>
      </tp>
      <tp>
        <v>2.1</v>
        <stp/>
        <stp>YahooFinanceQuotes</stp>
        <stp>MSFT</stp>
        <stp>ShortRatio</stp>
        <tr r="O8" s="1"/>
      </tp>
      <tp t="s">
        <v/>
        <stp/>
        <stp>YahooFinanceQuotes</stp>
        <stp>ORCL</stp>
        <stp>Commission</stp>
        <tr r="AX9" s="1"/>
      </tp>
      <tp>
        <v>107.34</v>
        <stp/>
        <stp>YahooFinanceHistoricalData</stp>
        <stp>AAPL</stp>
        <stp/>
        <stp>PrevClose</stp>
        <tr r="S4" s="4"/>
      </tp>
      <tp>
        <v>-7.9999999999998295E-2</v>
        <stp/>
        <stp>YahooFinanceHistoricalData</stp>
        <stp>ORCL</stp>
        <stp/>
        <stp>AdjChange</stp>
        <tr r="L9" s="4"/>
      </tp>
      <tp>
        <v>0.56000000000000005</v>
        <stp/>
        <stp>YahooFinanceOptions</stp>
        <stp>AAPL</stp>
        <stp>42021</stp>
        <stp>120</stp>
        <stp>CALL</stp>
        <stp>Bid</stp>
        <tr r="L5" s="6"/>
      </tp>
      <tp t="s">
        <v/>
        <stp/>
        <stp>YahooFinanceQuotes</stp>
        <stp>AAPL</stp>
        <stp>rtd_LastMessage</stp>
        <tr r="BA4" s="1"/>
      </tp>
      <tp>
        <v>25746</v>
        <stp/>
        <stp>YahooFinanceOptions</stp>
        <stp>AAPL160115C00120000</stp>
        <stp>OpenInt</stp>
        <tr r="P7" s="5"/>
      </tp>
      <tp>
        <v>108278</v>
        <stp/>
        <stp>YahooFinanceOptions</stp>
        <stp>AAPL160115C00100000</stp>
        <stp>OpenInt</stp>
        <tr r="P6" s="5"/>
      </tp>
      <tp>
        <v>36923</v>
        <stp/>
        <stp>YahooFinanceOptions</stp>
        <stp>AAPL150117C00120000</stp>
        <stp>OpenInt</stp>
        <tr r="P5" s="5"/>
      </tp>
      <tp>
        <v>231977</v>
        <stp/>
        <stp>YahooFinanceOptions</stp>
        <stp>AAPL150117C00100000</stp>
        <stp>OpenInt</stp>
        <tr r="P4" s="5"/>
      </tp>
      <tp>
        <v>0.35170000000000001</v>
        <stp/>
        <stp>YahooFinanceQuotes</stp>
        <stp>MSFT</stp>
        <stp>PercentChangeFromYearLow</stp>
        <tr r="V8" s="1"/>
      </tp>
      <tp>
        <v>74.11</v>
        <stp/>
        <stp>YahooFinanceHistoricalData</stp>
        <stp>FB</stp>
        <stp/>
        <stp>Close</stp>
        <tr r="H5" s="4"/>
      </tp>
      <tp>
        <v>45.750500000000002</v>
        <stp/>
        <stp>YahooFinanceQuotes</stp>
        <stp>MSFT</stp>
        <stp>FiftydayMovingAverage</stp>
        <tr r="W8" s="1"/>
      </tp>
      <tp>
        <v>38.880000000000003</v>
        <stp/>
        <stp>YahooFinanceWatchList</stp>
        <stp>ORCL</stp>
        <stp>Open</stp>
        <tr r="J9" s="2"/>
      </tp>
      <tp>
        <v>198.46</v>
        <stp/>
        <stp>YahooFinanceHistoricalData</stp>
        <stp>LNKD</stp>
        <stp/>
        <stp>Open</stp>
        <tr r="E7" s="4"/>
      </tp>
      <tp t="s">
        <v/>
        <stp/>
        <stp>YahooFinanceHistoricalData</stp>
        <stp>FB</stp>
        <stp/>
        <stp>rtd_LastMessage</stp>
        <tr r="W5" s="4"/>
      </tp>
      <tp t="s">
        <v/>
        <stp/>
        <stp>YahooFinanceStocks</stp>
        <stp>ORCL</stp>
        <stp>rtd_LastMessage</stp>
        <tr r="J9" s="3"/>
      </tp>
      <tp t="s">
        <v>43.55 - 81.16</v>
        <stp/>
        <stp>YahooFinanceQuotes</stp>
        <stp>FB</stp>
        <stp>YearRange</stp>
        <tr r="R5" s="1"/>
      </tp>
      <tp>
        <v>4.62</v>
        <stp/>
        <stp>YahooFinanceQuotes</stp>
        <stp>YHOO</stp>
        <stp>PEGRatio</stp>
        <tr r="AF10" s="1"/>
      </tp>
      <tp>
        <v>38.58</v>
        <stp/>
        <stp>YahooFinanceHistoricalData</stp>
        <stp>ORCL</stp>
        <stp/>
        <stp>PrevAdjClose</stp>
        <tr r="T9" s="4"/>
      </tp>
      <tp>
        <v>4.402377283733383E-3</v>
        <stp/>
        <stp>YahooFinanceHistoricalData</stp>
        <stp>YHOO</stp>
        <stp/>
        <stp>AdjChangeInPercent</stp>
        <tr r="M10" s="4"/>
      </tp>
      <tp>
        <v>107.34</v>
        <stp/>
        <stp>YahooFinanceHistoricalData</stp>
        <stp>AAPL</stp>
        <stp/>
        <stp>PrevAdjClose</stp>
        <tr r="T4" s="4"/>
      </tp>
      <tp>
        <v>1.33</v>
        <stp/>
        <stp>YahooFinanceQuotes</stp>
        <stp>GOOG</stp>
        <stp>PEGRatio</stp>
        <tr r="AF6" s="1"/>
      </tp>
      <tp>
        <v>41942</v>
        <stp/>
        <stp>YahooFinanceHistoricalData</stp>
        <stp>MSFT</stp>
        <stp/>
        <stp>Date</stp>
        <tr r="D8" s="4"/>
      </tp>
      <tp t="s">
        <v/>
        <stp/>
        <stp>YahooFinanceStocks</stp>
        <stp>MSFT</stp>
        <stp>rtd_LastMessage</stp>
        <tr r="J8" s="3"/>
      </tp>
      <tp>
        <v>240</v>
        <stp/>
        <stp>YahooFinanceQuotes</stp>
        <stp>LNKD</stp>
        <stp>OneYrTargetPrice</stp>
        <tr r="AD7" s="1"/>
      </tp>
      <tp>
        <v>9.65</v>
        <stp/>
        <stp>YahooFinanceQuotes</stp>
        <stp>YHOO</stp>
        <stp>PriceSales</stp>
        <tr r="AR10" s="1"/>
      </tp>
      <tp>
        <v>52586100</v>
        <stp/>
        <stp>YahooFinanceHistoricalData</stp>
        <stp>AAPL</stp>
        <stp/>
        <stp>PrevVolume</stp>
        <tr r="U4" s="4"/>
      </tp>
      <tp>
        <v>45.43</v>
        <stp/>
        <stp>YahooFinanceHistoricalData</stp>
        <stp>YHOO</stp>
        <stp/>
        <stp>PrevAdjClose</stp>
        <tr r="T10" s="4"/>
      </tp>
      <tp>
        <v>107.85</v>
        <stp/>
        <stp>YahooFinanceWatchList</stp>
        <stp>AAPL</stp>
        <stp>Last</stp>
        <tr r="G4" s="2"/>
      </tp>
      <tp>
        <v>0.6613528125</v>
        <stp/>
        <stp>YahooFinanceWatchList</stp>
        <stp>FB</stp>
        <stp>rtd_LastUpdateTime</stp>
        <tr r="R5" s="2"/>
      </tp>
      <tp>
        <v>1.68</v>
        <stp/>
        <stp>YahooFinanceQuotes</stp>
        <stp>FB</stp>
        <stp>EPSEstimateCurrentYear</stp>
        <tr r="AG5" s="1"/>
      </tp>
      <tp>
        <v>548.95000000000005</v>
        <stp/>
        <stp>YahooFinanceHistoricalData</stp>
        <stp>GOOG</stp>
        <stp/>
        <stp>Open</stp>
        <tr r="E6" s="4"/>
      </tp>
      <tp>
        <v>74.11</v>
        <stp/>
        <stp>YahooFinanceHistoricalData</stp>
        <stp>FB</stp>
        <stp/>
        <stp>AdjClose</stp>
        <tr r="K5" s="4"/>
      </tp>
      <tp>
        <v>0.63830307870370373</v>
        <stp/>
        <stp>YahooFinanceHistoricalData</stp>
        <stp>FB</stp>
        <stp/>
        <stp>rtd_LastUpdateTime</stp>
        <tr r="Z5" s="4"/>
      </tp>
      <tp>
        <v>-2.3068810967571851E-2</v>
        <stp/>
        <stp>YahooFinanceHistoricalData</stp>
        <stp>FB</stp>
        <stp/>
        <stp>ChangeInPercent</stp>
        <tr r="J5" s="4"/>
      </tp>
      <tp>
        <v>0.66072736111111108</v>
        <stp/>
        <stp>YahooFinanceWatchList</stp>
        <stp>AAPL</stp>
        <stp>rtd_LastUpdateTime</stp>
        <tr r="R4" s="2"/>
      </tp>
      <tp>
        <v>43.105899999999998</v>
        <stp/>
        <stp>YahooFinanceQuotes</stp>
        <stp>MSFT</stp>
        <stp>TwoHundredDayMovingAverage</stp>
        <tr r="X8" s="1"/>
      </tp>
      <tp>
        <v>0.65069444444444446</v>
        <stp/>
        <stp>YahooFinanceWatchList</stp>
        <stp>FB</stp>
        <stp>LastTradeTime</stp>
        <tr r="E5" s="2"/>
      </tp>
      <tp>
        <v>-5.0700000000000002E-2</v>
        <stp/>
        <stp>YahooFinanceQuotes</stp>
        <stp>ORCL</stp>
        <stp>ChangeFromFiftyDayMovingAverage</stp>
        <tr r="Y9" s="1"/>
      </tp>
      <tp>
        <v>0.17199999999999999</v>
        <stp/>
        <stp>YahooFinanceQuotes</stp>
        <stp>ORCL</stp>
        <stp>PercentChangeFromYearLow</stp>
        <tr r="V9" s="1"/>
      </tp>
      <tp>
        <v>184.61</v>
        <stp/>
        <stp>YahooFinanceQuotes</stp>
        <stp>LNKD</stp>
        <stp>TwoHundredDayMovingAverage</stp>
        <tr r="X7" s="1"/>
      </tp>
      <tp>
        <v>-0.125</v>
        <stp/>
        <stp>YahooFinanceQuotes</stp>
        <stp>YHOO</stp>
        <stp>ChangeFromYearHigh</stp>
        <tr r="S10" s="1"/>
      </tp>
      <tp>
        <v>46.95</v>
        <stp/>
        <stp>YahooFinanceWatchList</stp>
        <stp>MSFT</stp>
        <stp>Open</stp>
        <tr r="J8" s="2"/>
      </tp>
      <tp>
        <v>2.86</v>
        <stp/>
        <stp>YahooFinanceQuotes</stp>
        <stp>LNKD</stp>
        <stp>PEGRatio</stp>
        <tr r="AF7" s="1"/>
      </tp>
      <tp>
        <v>0.66074180555555551</v>
        <stp/>
        <stp>YahooFinanceWatchList</stp>
        <stp>GOOG</stp>
        <stp>rtd_LastUpdateTime</stp>
        <tr r="R6" s="2"/>
      </tp>
      <tp>
        <v>41943</v>
        <stp/>
        <stp>YahooFinanceWatchList</stp>
        <stp>ORCL</stp>
        <stp>rtd_LastUpdateDate</stp>
        <tr r="Q9" s="2"/>
      </tp>
      <tp>
        <v>41943.65</v>
        <stp/>
        <stp>YahooFinanceWatchList</stp>
        <stp>YHOO</stp>
        <stp>LastTradeDateTime</stp>
        <tr r="C10" s="2"/>
      </tp>
      <tp>
        <v>-1</v>
        <stp/>
        <stp>YahooFinanceWatchList</stp>
        <stp>YHOO</stp>
        <stp>Last:tick</stp>
        <tr r="F10" s="2"/>
      </tp>
      <tp>
        <v>1.0595000000000001</v>
        <stp/>
        <stp>YahooFinanceQuotes</stp>
        <stp>MSFT</stp>
        <stp>ChangeFromFiftyDayMovingAverage</stp>
        <tr r="Y8" s="1"/>
      </tp>
      <tp>
        <v>646.66999999999996</v>
        <stp/>
        <stp>YahooFinanceQuotes</stp>
        <stp>GOOG</stp>
        <stp>OneYrTargetPrice</stp>
        <tr r="AD6" s="1"/>
      </tp>
      <tp>
        <v>47.75</v>
        <stp/>
        <stp>YahooFinanceQuotes</stp>
        <stp>YHOO</stp>
        <stp>OneYrTargetPrice</stp>
        <tr r="AD10" s="1"/>
      </tp>
      <tp>
        <v>40.464599999999997</v>
        <stp/>
        <stp>YahooFinanceQuotes</stp>
        <stp>ORCL</stp>
        <stp>TwoHundredDayMovingAverage</stp>
        <tr r="X9" s="1"/>
      </tp>
      <tp>
        <v>1.7839914077146801E-3</v>
        <stp/>
        <stp>YahooFinanceHistoricalData</stp>
        <stp>GOOG</stp>
        <stp/>
        <stp>AdjChangeInPercent</stp>
        <tr r="M6" s="4"/>
      </tp>
      <tp>
        <v>41943</v>
        <stp/>
        <stp>YahooFinanceWatchList</stp>
        <stp>LNKD</stp>
        <stp>rtd_LastUpdateDate</stp>
        <tr r="Q7" s="2"/>
      </tp>
      <tp>
        <v>1</v>
        <stp/>
        <stp>YahooFinanceWatchList</stp>
        <stp>ORCL</stp>
        <stp>Last:tick</stp>
        <tr r="F9" s="2"/>
      </tp>
      <tp>
        <v>41943.650694444441</v>
        <stp/>
        <stp>YahooFinanceWatchList</stp>
        <stp>ORCL</stp>
        <stp>LastTradeDateTime</stp>
        <tr r="C9" s="2"/>
      </tp>
      <tp>
        <v>41943.65</v>
        <stp/>
        <stp>YahooFinanceWatchList</stp>
        <stp>AAPL</stp>
        <stp>LastTradeDateTime</stp>
        <tr r="C4" s="2"/>
      </tp>
      <tp>
        <v>0</v>
        <stp/>
        <stp>YahooFinanceWatchList</stp>
        <stp>AAPL</stp>
        <stp>Last:tick</stp>
        <tr r="F4" s="2"/>
      </tp>
      <tp>
        <v>1.6991629492256077E-2</v>
        <stp/>
        <stp>YahooFinanceHistoricalData</stp>
        <stp>LNKD</stp>
        <stp/>
        <stp>AdjChangeInPercent</stp>
        <tr r="M7" s="4"/>
      </tp>
      <tp>
        <v>41943</v>
        <stp/>
        <stp>YahooFinanceWatchList</stp>
        <stp>MSFT</stp>
        <stp>rtd_LastUpdateDate</stp>
        <tr r="Q8" s="2"/>
      </tp>
      <tp>
        <v>45.43</v>
        <stp/>
        <stp>YahooFinanceHistoricalData</stp>
        <stp>YHOO</stp>
        <stp/>
        <stp>PrevClose</stp>
        <tr r="S10" s="4"/>
      </tp>
      <tp>
        <v>94.241399999999999</v>
        <stp/>
        <stp>YahooFinanceQuotes</stp>
        <stp>AAPL</stp>
        <stp>TwoHundredDayMovingAverage</stp>
        <tr r="X4" s="1"/>
      </tp>
      <tp>
        <v>106.96</v>
        <stp/>
        <stp>YahooFinanceHistoricalData</stp>
        <stp>AAPL</stp>
        <stp/>
        <stp>Open</stp>
        <tr r="E4" s="4"/>
      </tp>
      <tp>
        <v>224.24</v>
        <stp/>
        <stp>YahooFinanceWatchList</stp>
        <stp>LNKD</stp>
        <stp>Open</stp>
        <tr r="J7" s="2"/>
      </tp>
      <tp>
        <v>-3.3538289547233591E-3</v>
        <stp/>
        <stp>YahooFinanceHistoricalData</stp>
        <stp>AAPL</stp>
        <stp/>
        <stp>AdjChangeInPercent</stp>
        <tr r="M4" s="4"/>
      </tp>
      <tp>
        <v>9.0299999999999994</v>
        <stp/>
        <stp>YahooFinanceQuotes</stp>
        <stp>FB</stp>
        <stp>PriceBook</stp>
        <tr r="AQ5" s="1"/>
      </tp>
      <tp>
        <v>38.4</v>
        <stp/>
        <stp>YahooFinanceHistoricalData</stp>
        <stp>ORCL</stp>
        <stp/>
        <stp>Open</stp>
        <tr r="E9" s="4"/>
      </tp>
      <tp>
        <v>2.62</v>
        <stp/>
        <stp>YahooFinanceQuotes</stp>
        <stp>MSFT</stp>
        <stp>PEGRatio</stp>
        <tr r="AF8" s="1"/>
      </tp>
      <tp>
        <v>8.75</v>
        <stp/>
        <stp>YahooFinanceOptions</stp>
        <stp>AAPL</stp>
        <stp>Jan17,15</stp>
        <stp>100</stp>
        <stp>CALL</stp>
        <stp>Mark</stp>
        <tr r="E4" s="7"/>
      </tp>
      <tp>
        <v>0.56499999999999995</v>
        <stp/>
        <stp>YahooFinanceOptions</stp>
        <stp>AAPL</stp>
        <stp>Jan17,15</stp>
        <stp>120</stp>
        <stp>CALL</stp>
        <stp>Mark</stp>
        <tr r="E5" s="7"/>
      </tp>
      <tp>
        <v>2.3225806451612901E-2</v>
        <stp/>
        <stp>YahooFinanceOptions</stp>
        <stp>AAPL160115C00100000</stp>
        <stp>ChangeInPercent</stp>
        <tr r="K6" s="5"/>
      </tp>
      <tp>
        <v>4.3055555555555555E-2</v>
        <stp/>
        <stp>YahooFinanceOptions</stp>
        <stp>AAPL160115C00120000</stp>
        <stp>ChangeInPercent</stp>
        <tr r="K7" s="5"/>
      </tp>
      <tp>
        <v>6.0606060606060608E-2</v>
        <stp/>
        <stp>YahooFinanceOptions</stp>
        <stp>AAPL150117C00100000</stp>
        <stp>ChangeInPercent</stp>
        <tr r="K4" s="5"/>
      </tp>
      <tp>
        <v>3.7037037037037035E-2</v>
        <stp/>
        <stp>YahooFinanceOptions</stp>
        <stp>AAPL150117C00120000</stp>
        <stp>ChangeInPercent</stp>
        <tr r="K5" s="5"/>
      </tp>
      <tp>
        <v>0.11019999999999999</v>
        <stp/>
        <stp>YahooFinanceQuotes</stp>
        <stp>GOOG</stp>
        <stp>PercentChangeFromYearLow</stp>
        <tr r="V6" s="1"/>
      </tp>
      <tp>
        <v>0.43560000000000004</v>
        <stp/>
        <stp>YahooFinanceQuotes</stp>
        <stp>YHOO</stp>
        <stp>PercentChangeFromYearLow</stp>
        <tr r="V10" s="1"/>
      </tp>
      <tp t="s">
        <v/>
        <stp/>
        <stp>YahooFinanceQuotes</stp>
        <stp>YHOO</stp>
        <stp>Commission</stp>
        <tr r="AX10" s="1"/>
      </tp>
      <tp>
        <v>46.32</v>
        <stp/>
        <stp>YahooFinanceHistoricalData</stp>
        <stp>MSFT</stp>
        <stp/>
        <stp>High</stp>
        <tr r="F8" s="4"/>
      </tp>
      <tp>
        <v>199.51</v>
        <stp/>
        <stp>YahooFinanceHistoricalData</stp>
        <stp>LNKD</stp>
        <stp/>
        <stp>PrevAdjClose</stp>
        <tr r="T7" s="4"/>
      </tp>
      <tp>
        <v>0.20000000000000284</v>
        <stp/>
        <stp>YahooFinanceHistoricalData</stp>
        <stp>YHOO</stp>
        <stp/>
        <stp>AdjChange</stp>
        <tr r="L10" s="4"/>
      </tp>
      <tp>
        <v>43.85</v>
        <stp/>
        <stp>YahooFinanceQuotes</stp>
        <stp>ORCL</stp>
        <stp>OneYrTargetPrice</stp>
        <tr r="AD9" s="1"/>
      </tp>
      <tp>
        <v>108.04</v>
        <stp/>
        <stp>YahooFinanceWatchList</stp>
        <stp>AAPL</stp>
        <stp>High</stp>
        <tr r="K4" s="2"/>
      </tp>
      <tp>
        <v>0</v>
        <stp/>
        <stp>YahooFinanceHistoricalData</stp>
        <stp>FB</stp>
        <stp/>
        <stp>rtd_LastError</stp>
        <tr r="V5" s="4"/>
      </tp>
      <tp>
        <v>12.65</v>
        <stp/>
        <stp>YahooFinanceQuotes</stp>
        <stp>AAPL</stp>
        <stp>PriceEPSEstimateNextYear</stp>
        <tr r="AT4" s="1"/>
      </tp>
      <tp>
        <v>549.33000000000004</v>
        <stp/>
        <stp>YahooFinanceHistoricalData</stp>
        <stp>GOOG</stp>
        <stp/>
        <stp>PrevAdjClose</stp>
        <tr r="T6" s="4"/>
      </tp>
      <tp>
        <v>75.45</v>
        <stp/>
        <stp>YahooFinanceHistoricalData</stp>
        <stp>FB</stp>
        <stp/>
        <stp>PrevOpen</stp>
        <tr r="P5" s="4"/>
      </tp>
      <tp>
        <v>34.630000000000003</v>
        <stp/>
        <stp>YahooFinanceQuotes</stp>
        <stp>MSFT</stp>
        <stp>YearLow</stp>
        <tr r="Q8" s="1"/>
      </tp>
      <tp>
        <v>41943</v>
        <stp/>
        <stp>YahooFinanceWatchList</stp>
        <stp>FB</stp>
        <stp>rtd_LastUpdateDate</stp>
        <tr r="Q5" s="2"/>
      </tp>
      <tp>
        <v>0.8</v>
        <stp/>
        <stp>YahooFinanceQuotes</stp>
        <stp>YHOO</stp>
        <stp>ShortRatio</stp>
        <tr r="O10" s="1"/>
      </tp>
      <tp>
        <v>25370300</v>
        <stp/>
        <stp>YahooFinanceHistoricalData</stp>
        <stp>YHOO</stp>
        <stp/>
        <stp>PrevVolume</stp>
        <tr r="U10" s="4"/>
      </tp>
      <tp>
        <v>41943</v>
        <stp/>
        <stp>YahooFinanceHistoricalData</stp>
        <stp>FB</stp>
        <stp/>
        <stp>rtd_LastUpdateDate</stp>
        <tr r="Y5" s="4"/>
      </tp>
      <tp>
        <v>15.85</v>
        <stp/>
        <stp>YahooFinanceOptions</stp>
        <stp>AAPL</stp>
        <stp>Jan15'16</stp>
        <stp>100</stp>
        <stp>CALL</stp>
        <stp>Mark</stp>
        <tr r="F4" s="7"/>
      </tp>
      <tp>
        <v>7.5</v>
        <stp/>
        <stp>YahooFinanceOptions</stp>
        <stp>AAPL</stp>
        <stp>Jan15'16</stp>
        <stp>120</stp>
        <stp>CALL</stp>
        <stp>Mark</stp>
        <tr r="F5" s="7"/>
      </tp>
      <tp>
        <v>45.21</v>
        <stp/>
        <stp>YahooFinanceHistoricalData</stp>
        <stp>YHOO</stp>
        <stp/>
        <stp>Open</stp>
        <tr r="E10" s="4"/>
      </tp>
      <tp>
        <v>41943</v>
        <stp/>
        <stp>YahooFinanceWatchList</stp>
        <stp>AAPL</stp>
        <stp>rtd_LastUpdateDate</stp>
        <tr r="Q4" s="2"/>
      </tp>
      <tp t="s">
        <v/>
        <stp/>
        <stp>YahooFinanceOptions</stp>
        <stp>AAPL150117C00120000</stp>
        <stp>rtd_LastMessage</stp>
        <tr r="R5" s="5"/>
      </tp>
      <tp t="s">
        <v/>
        <stp/>
        <stp>YahooFinanceOptions</stp>
        <stp>AAPL150117C00100000</stp>
        <stp>rtd_LastMessage</stp>
        <tr r="R4" s="5"/>
      </tp>
      <tp t="s">
        <v/>
        <stp/>
        <stp>YahooFinanceOptions</stp>
        <stp>AAPL160115C00120000</stp>
        <stp>rtd_LastMessage</stp>
        <tr r="R7" s="5"/>
      </tp>
      <tp t="s">
        <v/>
        <stp/>
        <stp>YahooFinanceOptions</stp>
        <stp>AAPL160115C00100000</stp>
        <stp>rtd_LastMessage</stp>
        <tr r="R6" s="5"/>
      </tp>
      <tp>
        <v>33.22</v>
        <stp/>
        <stp>YahooFinanceQuotes</stp>
        <stp>ORCL</stp>
        <stp>YearLow</stp>
        <tr r="Q9" s="1"/>
      </tp>
      <tp>
        <v>41943</v>
        <stp/>
        <stp>YahooFinanceWatchList</stp>
        <stp>FB</stp>
        <stp>LastTradeDate</stp>
        <tr r="D5" s="2"/>
      </tp>
      <tp>
        <v>41943.656792893518</v>
        <stp/>
        <stp>YahooFinanceOptions</stp>
        <stp>AAPL</stp>
        <stp>42021</stp>
        <stp>100</stp>
        <stp>CALL</stp>
        <stp>rtd_LastUpdate</stp>
        <tr r="R4" s="6"/>
      </tp>
      <tp>
        <v>41943.656792893518</v>
        <stp/>
        <stp>YahooFinanceOptions</stp>
        <stp>AAPL</stp>
        <stp>42021</stp>
        <stp>120</stp>
        <stp>CALL</stp>
        <stp>rtd_LastUpdate</stp>
        <tr r="R5" s="6"/>
      </tp>
      <tp>
        <v>1765700</v>
        <stp/>
        <stp>YahooFinanceHistoricalData</stp>
        <stp>GOOG</stp>
        <stp/>
        <stp>PrevVolume</stp>
        <tr r="U6" s="4"/>
      </tp>
      <tp>
        <v>559.57000000000005</v>
        <stp/>
        <stp>YahooFinanceWatchList</stp>
        <stp>GOOG</stp>
        <stp>Open</stp>
        <tr r="J6" s="2"/>
      </tp>
      <tp>
        <v>46.2</v>
        <stp/>
        <stp>YahooFinanceWatchList</stp>
        <stp>YHOO</stp>
        <stp>Open</stp>
        <tr r="J10" s="2"/>
      </tp>
      <tp>
        <v>38345016</v>
        <stp/>
        <stp>YahooFinanceQuotes</stp>
        <stp>FB</stp>
        <stp>Volume</stp>
        <tr r="L5" s="1"/>
      </tp>
      <tp t="s">
        <v>Technology</v>
        <stp/>
        <stp>YahooFinanceStocks</stp>
        <stp>FB</stp>
        <stp>Sector</stp>
        <tr r="D5" s="3"/>
      </tp>
      <tp t="s">
        <v/>
        <stp/>
        <stp>YahooFinanceQuotes</stp>
        <stp>ORCL</stp>
        <stp>rtd_LastMessage</stp>
        <tr r="BA9" s="1"/>
      </tp>
      <tp>
        <v>0.68559999999999999</v>
        <stp/>
        <stp>YahooFinanceQuotes</stp>
        <stp>LNKD</stp>
        <stp>PercentChangeFromYearLow</stp>
        <tr r="V7" s="1"/>
      </tp>
      <tp>
        <v>1742500</v>
        <stp/>
        <stp>YahooFinanceHistoricalData</stp>
        <stp>LNKD</stp>
        <stp/>
        <stp>PrevVolume</stp>
        <tr r="U7" s="4"/>
      </tp>
      <tp>
        <v>1.38</v>
        <stp/>
        <stp>YahooFinanceQuotes</stp>
        <stp>ORCL</stp>
        <stp>PEGRatio</stp>
        <tr r="AF9" s="1"/>
      </tp>
      <tp>
        <v>8.2100000000000009</v>
        <stp/>
        <stp>YahooFinanceQuotes</stp>
        <stp>FB</stp>
        <stp>BookValue</stp>
        <tr r="AP5" s="1"/>
      </tp>
      <tp>
        <v>41943</v>
        <stp/>
        <stp>YahooFinanceWatchList</stp>
        <stp>GOOG</stp>
        <stp>rtd_LastUpdateDate</stp>
        <tr r="Q6" s="2"/>
      </tp>
      <tp>
        <v>0.66133457175925925</v>
        <stp/>
        <stp>YahooFinanceWatchList</stp>
        <stp>ORCL</stp>
        <stp>rtd_LastUpdateTime</stp>
        <tr r="R9" s="2"/>
      </tp>
      <tp>
        <v>1</v>
        <stp/>
        <stp>YahooFinanceWatchList</stp>
        <stp>GOOG</stp>
        <stp>Last:tick</stp>
        <tr r="F6" s="2"/>
      </tp>
      <tp>
        <v>41943.65</v>
        <stp/>
        <stp>YahooFinanceWatchList</stp>
        <stp>GOOG</stp>
        <stp>LastTradeDateTime</stp>
        <tr r="C6" s="2"/>
      </tp>
      <tp t="s">
        <v/>
        <stp/>
        <stp>YahooFinanceQuotes</stp>
        <stp>MSFT</stp>
        <stp>rtd_LastMessage</stp>
        <tr r="BA8" s="1"/>
      </tp>
      <tp>
        <v>560.30899999999997</v>
        <stp/>
        <stp>YahooFinanceQuotes</stp>
        <stp>GOOG</stp>
        <stp>TwoHundredDayMovingAverage</stp>
        <tr r="X6" s="1"/>
      </tp>
      <tp>
        <v>74.78</v>
        <stp/>
        <stp>YahooFinanceHistoricalData</stp>
        <stp>FB</stp>
        <stp/>
        <stp>PrevLow</stp>
        <tr r="R5" s="4"/>
      </tp>
      <tp>
        <v>0.66068565972222226</v>
        <stp/>
        <stp>YahooFinanceWatchList</stp>
        <stp>LNKD</stp>
        <stp>rtd_LastUpdateTime</stp>
        <tr r="R7" s="2"/>
      </tp>
      <tp>
        <v>1.6500000000000001E-2</v>
        <stp/>
        <stp>YahooFinanceQuotes</stp>
        <stp>MSFT</stp>
        <stp>ChangeInPercent</stp>
        <tr r="H8" s="1"/>
      </tp>
      <tp t="s">
        <v>Dec 11</v>
        <stp/>
        <stp>YahooFinanceQuotes</stp>
        <stp>MSFT</stp>
        <stp>DividendPayDate</stp>
        <tr r="AO8" s="1"/>
      </tp>
      <tp>
        <v>-1</v>
        <stp/>
        <stp>YahooFinanceWatchList</stp>
        <stp>LNKD</stp>
        <stp>Last:tick</stp>
        <tr r="F7" s="2"/>
      </tp>
      <tp>
        <v>41943.65</v>
        <stp/>
        <stp>YahooFinanceWatchList</stp>
        <stp>LNKD</stp>
        <stp>LastTradeDateTime</stp>
        <tr r="C7" s="2"/>
      </tp>
      <tp>
        <v>48.97</v>
        <stp/>
        <stp>YahooFinanceQuotes</stp>
        <stp>MSFT</stp>
        <stp>OneYrTargetPrice</stp>
        <tr r="AD8" s="1"/>
      </tp>
      <tp>
        <v>41943.656712719909</v>
        <stp/>
        <stp>YahooFinanceOptions</stp>
        <stp>AAPL</stp>
        <stp>42384</stp>
        <stp>120</stp>
        <stp>CALL</stp>
        <stp>rtd_LastUpdate</stp>
        <tr r="R7" s="6"/>
      </tp>
      <tp>
        <v>41943.656712719909</v>
        <stp/>
        <stp>YahooFinanceOptions</stp>
        <stp>AAPL</stp>
        <stp>42384</stp>
        <stp>100</stp>
        <stp>CALL</stp>
        <stp>rtd_LastUpdate</stp>
        <tr r="R6" s="6"/>
      </tp>
      <tp>
        <v>0.66136616898148148</v>
        <stp/>
        <stp>YahooFinanceWatchList</stp>
        <stp>MSFT</stp>
        <stp>rtd_LastUpdateTime</stp>
        <tr r="R8" s="2"/>
      </tp>
      <tp>
        <v>1.1299999999999999E-2</v>
        <stp/>
        <stp>YahooFinanceQuotes</stp>
        <stp>ORCL</stp>
        <stp>ChangeInPercent</stp>
        <tr r="H9" s="1"/>
      </tp>
      <tp t="s">
        <v>Oct 29</v>
        <stp/>
        <stp>YahooFinanceQuotes</stp>
        <stp>ORCL</stp>
        <stp>DividendPayDate</stp>
        <tr r="AO9" s="1"/>
      </tp>
      <tp>
        <v>43.19</v>
        <stp/>
        <stp>YahooFinanceQuotes</stp>
        <stp>ORCL</stp>
        <stp>YearHigh</stp>
        <tr r="P9" s="1"/>
      </tp>
      <tp>
        <v>31484</v>
        <stp/>
        <stp>YahooFinanceStocks</stp>
        <stp>MSFT</stp>
        <stp>Start</stp>
        <tr r="G8" s="3"/>
      </tp>
      <tp t="s">
        <v>NasdaqNM</v>
        <stp/>
        <stp>YahooFinanceQuotes</stp>
        <stp>AAPL</stp>
        <stp>StockExchange</stp>
        <tr r="AW4" s="1"/>
      </tp>
      <tp t="s">
        <v>NYSE</v>
        <stp/>
        <stp>YahooFinanceQuotes</stp>
        <stp>ORCL</stp>
        <stp>StockExchange</stp>
        <tr r="AW9" s="1"/>
      </tp>
      <tp>
        <v>0.48</v>
        <stp/>
        <stp>YahooFinanceQuotes</stp>
        <stp>ORCL</stp>
        <stp>DividendShare</stp>
        <tr r="AM9" s="1"/>
      </tp>
      <tp>
        <v>38.46</v>
        <stp/>
        <stp>YahooFinanceHistoricalData</stp>
        <stp>ORCL</stp>
        <stp/>
        <stp>PrevLow</stp>
        <tr r="R9" s="4"/>
      </tp>
      <tp>
        <v>1.8113999999999999</v>
        <stp/>
        <stp>YahooFinanceQuotes</stp>
        <stp>AAPL</stp>
        <stp>DividendShare</stp>
        <tr r="AM4" s="1"/>
      </tp>
      <tp>
        <v>107.21</v>
        <stp/>
        <stp>YahooFinanceWatchList</stp>
        <stp>AAPL</stp>
        <stp>Low</stp>
        <tr r="L4" s="2"/>
      </tp>
      <tp>
        <v>-2.3068810967571851E-2</v>
        <stp/>
        <stp>YahooFinanceHistoricalData</stp>
        <stp>FB</stp>
        <stp/>
        <stp>AdjChangeInPercent</stp>
        <tr r="M5" s="4"/>
      </tp>
      <tp>
        <v>41943</v>
        <stp/>
        <stp>YahooFinanceQuotes</stp>
        <stp>GOOG</stp>
        <stp>LastTradeDate</stp>
        <tr r="C6" s="1"/>
      </tp>
      <tp>
        <v>1.7839914077146801E-3</v>
        <stp/>
        <stp>YahooFinanceHistoricalData</stp>
        <stp>GOOG</stp>
        <stp/>
        <stp>ChangeInPercent</stp>
        <tr r="J6" s="4"/>
      </tp>
      <tp>
        <v>0.65</v>
        <stp/>
        <stp>YahooFinanceQuotes</stp>
        <stp>YHOO</stp>
        <stp>LastTradeTime</stp>
        <tr r="D10" s="1"/>
      </tp>
      <tp>
        <v>1739950</v>
        <stp/>
        <stp>YahooFinanceQuotes</stp>
        <stp>GOOG</stp>
        <stp>AverageDailyVolume</stp>
        <tr r="AC6" s="1"/>
      </tp>
      <tp>
        <v>4.402377283733383E-3</v>
        <stp/>
        <stp>YahooFinanceHistoricalData</stp>
        <stp>YHOO</stp>
        <stp/>
        <stp>ChangeInPercent</stp>
        <tr r="J10" s="4"/>
      </tp>
      <tp>
        <v>41943</v>
        <stp/>
        <stp>YahooFinanceStocks</stp>
        <stp>AAPL</stp>
        <stp>rtd_LastUpdateDate</stp>
        <tr r="L4" s="3"/>
      </tp>
      <tp>
        <v>41943</v>
        <stp/>
        <stp>YahooFinanceHistoricalData</stp>
        <stp>AAPL</stp>
        <stp/>
        <stp>rtd_LastUpdateDate</stp>
        <tr r="Y4" s="4"/>
      </tp>
      <tp>
        <v>41943</v>
        <stp/>
        <stp>YahooFinanceQuotes</stp>
        <stp>LNKD</stp>
        <stp>LastTradeDate</stp>
        <tr r="C7" s="1"/>
      </tp>
      <tp>
        <v>0.65</v>
        <stp/>
        <stp>YahooFinanceQuotes</stp>
        <stp>ORCL</stp>
        <stp>LastTradeTime</stp>
        <tr r="D9" s="1"/>
      </tp>
      <tp t="s">
        <v/>
        <stp/>
        <stp>YahooFinanceHistoricalData</stp>
        <stp>GOOG</stp>
        <stp/>
        <stp>rtd_LastMessage</stp>
        <tr r="W6" s="4"/>
      </tp>
      <tp t="s">
        <v/>
        <stp/>
        <stp>YahooFinanceHistoricalData</stp>
        <stp>YHOO</stp>
        <stp/>
        <stp>rtd_LastMessage</stp>
        <tr r="W10" s="4"/>
      </tp>
      <tp>
        <v>0.65</v>
        <stp/>
        <stp>YahooFinanceQuotes</stp>
        <stp>AAPL</stp>
        <stp>LastTradeTime</stp>
        <tr r="D4" s="1"/>
      </tp>
      <tp>
        <v>0.63838504629629633</v>
        <stp/>
        <stp>YahooFinanceHistoricalData</stp>
        <stp>YHOO</stp>
        <stp/>
        <stp>rtd_LastUpdateTime</stp>
        <tr r="Z10" s="4"/>
      </tp>
      <tp>
        <v>0</v>
        <stp/>
        <stp>YahooFinanceQuotes</stp>
        <stp>YHOO</stp>
        <stp>DividendShare</stp>
        <tr r="AM10" s="1"/>
      </tp>
      <tp t="s">
        <v>NasdaqNM</v>
        <stp/>
        <stp>YahooFinanceQuotes</stp>
        <stp>YHOO</stp>
        <stp>StockExchange</stp>
        <tr r="AW10" s="1"/>
      </tp>
      <tp>
        <v>0.63836428240740739</v>
        <stp/>
        <stp>YahooFinanceHistoricalData</stp>
        <stp>GOOG</stp>
        <stp/>
        <stp>rtd_LastUpdateTime</stp>
        <tr r="Z6" s="4"/>
      </tp>
      <tp>
        <v>0</v>
        <stp/>
        <stp>YahooFinanceQuotes</stp>
        <stp>MSFT</stp>
        <stp>rtd_LastError</stp>
        <tr r="AZ8" s="1"/>
      </tp>
      <tp t="s">
        <v>Electronic Equipment</v>
        <stp/>
        <stp>YahooFinanceStocks</stp>
        <stp>AAPL</stp>
        <stp>Industry</stp>
        <tr r="E4" s="3"/>
      </tp>
      <tp>
        <v>0</v>
        <stp/>
        <stp>YahooFinanceStocks</stp>
        <stp>MSFT</stp>
        <stp>rtd_LastError</stp>
        <tr r="I8" s="3"/>
      </tp>
      <tp>
        <v>1.69</v>
        <stp/>
        <stp>YahooFinanceQuotes</stp>
        <stp>AAPL</stp>
        <stp>DividendYield</stp>
        <tr r="AL4" s="1"/>
      </tp>
      <tp>
        <v>0.46292726851851851</v>
        <stp/>
        <stp>YahooFinanceStocks</stp>
        <stp>LNKD</stp>
        <stp>rtd_LastUpdateTime</stp>
        <tr r="M7" s="3"/>
      </tp>
      <tp>
        <v>1.25</v>
        <stp/>
        <stp>YahooFinanceQuotes</stp>
        <stp>ORCL</stp>
        <stp>DividendYield</stp>
        <tr r="AL9" s="1"/>
      </tp>
      <tp>
        <v>0.63834947916666662</v>
        <stp/>
        <stp>YahooFinanceHistoricalData</stp>
        <stp>LNKD</stp>
        <stp/>
        <stp>rtd_LastUpdateTime</stp>
        <tr r="Z7" s="4"/>
      </tp>
      <tp>
        <v>47.57</v>
        <stp/>
        <stp>YahooFinanceQuotes</stp>
        <stp>MSFT</stp>
        <stp>YearHigh</stp>
        <tr r="P8" s="1"/>
      </tp>
      <tp>
        <v>-0.11899999999999999</v>
        <stp/>
        <stp>YahooFinanceQuotes</stp>
        <stp>LNKD</stp>
        <stp>EarningsShare</stp>
        <tr r="AJ7" s="1"/>
      </tp>
      <tp t="s">
        <v/>
        <stp/>
        <stp>YahooFinanceQuotes</stp>
        <stp>LNKD</stp>
        <stp>Notes</stp>
        <tr r="AY7" s="1"/>
      </tp>
      <tp>
        <v>1.6991629492256077E-2</v>
        <stp/>
        <stp>YahooFinanceHistoricalData</stp>
        <stp>LNKD</stp>
        <stp/>
        <stp>ChangeInPercent</stp>
        <tr r="J7" s="4"/>
      </tp>
      <tp>
        <v>45.63</v>
        <stp/>
        <stp>YahooFinanceQuotes</stp>
        <stp>YHOO</stp>
        <stp>PreviousClose</stp>
        <tr r="N10" s="1"/>
      </tp>
      <tp>
        <v>46.34</v>
        <stp/>
        <stp>YahooFinanceHistoricalData</stp>
        <stp>MSFT</stp>
        <stp/>
        <stp>PrevLow</stp>
        <tr r="R8" s="4"/>
      </tp>
      <tp>
        <v>0.46287400462962963</v>
        <stp/>
        <stp>YahooFinanceStocks</stp>
        <stp>MSFT</stp>
        <stp>rtd_LastUpdateTime</stp>
        <tr r="M8" s="3"/>
      </tp>
      <tp>
        <v>0.66075733796296299</v>
        <stp/>
        <stp>YahooFinanceQuotes</stp>
        <stp>YHOO</stp>
        <stp>rtd_LastUpdateTime</stp>
        <tr r="BD10" s="1"/>
      </tp>
      <tp t="s">
        <v/>
        <stp/>
        <stp>YahooFinanceQuotes</stp>
        <stp>GOOG</stp>
        <stp>Notes</stp>
        <tr r="AY6" s="1"/>
      </tp>
      <tp>
        <v>19.001999999999999</v>
        <stp/>
        <stp>YahooFinanceQuotes</stp>
        <stp>GOOG</stp>
        <stp>EarningsShare</stp>
        <tr r="AJ6" s="1"/>
      </tp>
      <tp>
        <v>106.98</v>
        <stp/>
        <stp>YahooFinanceQuotes</stp>
        <stp>AAPL</stp>
        <stp>PreviousClose</stp>
        <tr r="N4" s="1"/>
      </tp>
      <tp t="s">
        <v/>
        <stp/>
        <stp>YahooFinanceHistoricalData</stp>
        <stp>LNKD</stp>
        <stp/>
        <stp>rtd_LastMessage</stp>
        <tr r="W7" s="4"/>
      </tp>
      <tp>
        <v>38.5</v>
        <stp/>
        <stp>YahooFinanceQuotes</stp>
        <stp>ORCL</stp>
        <stp>PreviousClose</stp>
        <tr r="N9" s="1"/>
      </tp>
      <tp>
        <v>58618300</v>
        <stp/>
        <stp>YahooFinanceQuotes</stp>
        <stp>AAPL</stp>
        <stp>AverageDailyVolume</stp>
        <tr r="AC4" s="1"/>
      </tp>
      <tp>
        <v>0.46289314814814814</v>
        <stp/>
        <stp>YahooFinanceStocks</stp>
        <stp>ORCL</stp>
        <stp>rtd_LastUpdateTime</stp>
        <tr r="M9" s="3"/>
      </tp>
      <tp>
        <v>41943</v>
        <stp/>
        <stp>YahooFinanceStocks</stp>
        <stp>GOOG</stp>
        <stp>rtd_LastUpdateDate</stp>
        <tr r="L6" s="3"/>
      </tp>
      <tp t="e">
        <v>#N/A</v>
        <stp/>
        <stp>YahooFinanceQuotes</stp>
        <stp>YHOO</stp>
        <stp>DividendYield</stp>
        <tr r="AL10" s="1"/>
      </tp>
      <tp>
        <v>239.17</v>
        <stp/>
        <stp>YahooFinanceQuotes</stp>
        <stp>LNKD</stp>
        <stp>YearHigh</stp>
        <tr r="P7" s="1"/>
      </tp>
      <tp t="s">
        <v>NYSE</v>
        <stp/>
        <stp>YahooFinanceQuotes</stp>
        <stp>LNKD</stp>
        <stp>StockExchange</stp>
        <tr r="AW7" s="1"/>
      </tp>
      <tp>
        <v>0</v>
        <stp/>
        <stp>YahooFinanceQuotes</stp>
        <stp>LNKD</stp>
        <stp>DividendShare</stp>
        <tr r="AM7" s="1"/>
      </tp>
      <tp>
        <v>-1.2226512226512276E-2</v>
        <stp/>
        <stp>YahooFinanceHistoricalData</stp>
        <stp>MSFT</stp>
        <stp/>
        <stp>ChangeInPercent</stp>
        <tr r="J8" s="4"/>
      </tp>
      <tp>
        <v>1348</v>
        <stp/>
        <stp>YahooFinanceOptions</stp>
        <stp>AAPL</stp>
        <stp>42384</stp>
        <stp>120</stp>
        <stp>CALL</stp>
        <stp>Volume</stp>
        <tr r="N7" s="6"/>
      </tp>
      <tp>
        <v>197.12</v>
        <stp/>
        <stp>YahooFinanceHistoricalData</stp>
        <stp>LNKD</stp>
        <stp/>
        <stp>PrevLow</stp>
        <tr r="R7" s="4"/>
      </tp>
      <tp>
        <v>849</v>
        <stp/>
        <stp>YahooFinanceOptions</stp>
        <stp>AAPL</stp>
        <stp>42384</stp>
        <stp>100</stp>
        <stp>CALL</stp>
        <stp>Volume</stp>
        <tr r="N6" s="6"/>
      </tp>
      <tp>
        <v>0.46296446759259258</v>
        <stp/>
        <stp>YahooFinanceStocks</stp>
        <stp>AAPL</stp>
        <stp>rtd_LastUpdateTime</stp>
        <tr r="M4" s="3"/>
      </tp>
      <tp>
        <v>14899800</v>
        <stp/>
        <stp>YahooFinanceQuotes</stp>
        <stp>ORCL</stp>
        <stp>AverageDailyVolume</stp>
        <tr r="AC9" s="1"/>
      </tp>
      <tp>
        <v>0.65</v>
        <stp/>
        <stp>YahooFinanceQuotes</stp>
        <stp>GOOG</stp>
        <stp>LastTradeTime</stp>
        <tr r="D6" s="1"/>
      </tp>
      <tp>
        <v>41943</v>
        <stp/>
        <stp>YahooFinanceQuotes</stp>
        <stp>YHOO</stp>
        <stp>LastTradeDate</stp>
        <tr r="C10" s="1"/>
      </tp>
      <tp>
        <v>45.67</v>
        <stp/>
        <stp>YahooFinanceWatchList</stp>
        <stp>YHOO</stp>
        <stp>Low</stp>
        <tr r="L10" s="2"/>
      </tp>
      <tp>
        <v>0.63840274305555555</v>
        <stp/>
        <stp>YahooFinanceHistoricalData</stp>
        <stp>AAPL</stp>
        <stp/>
        <stp>rtd_LastUpdateTime</stp>
        <tr r="Z4" s="4"/>
      </tp>
      <tp>
        <v>41943</v>
        <stp/>
        <stp>YahooFinanceQuotes</stp>
        <stp>AAPL</stp>
        <stp>LastTradeDate</stp>
        <tr r="C4" s="1"/>
      </tp>
      <tp>
        <v>1860350</v>
        <stp/>
        <stp>YahooFinanceQuotes</stp>
        <stp>LNKD</stp>
        <stp>AverageDailyVolume</stp>
        <tr r="AC7" s="1"/>
      </tp>
      <tp>
        <v>41943</v>
        <stp/>
        <stp>YahooFinanceQuotes</stp>
        <stp>ORCL</stp>
        <stp>LastTradeDate</stp>
        <tr r="C9" s="1"/>
      </tp>
      <tp>
        <v>0.65</v>
        <stp/>
        <stp>YahooFinanceQuotes</stp>
        <stp>LNKD</stp>
        <stp>LastTradeTime</stp>
        <tr r="D7" s="1"/>
      </tp>
      <tp>
        <v>16.09</v>
        <stp/>
        <stp>YahooFinanceQuotes</stp>
        <stp>ORCL</stp>
        <stp>PERatio</stp>
        <tr r="AE9" s="1"/>
      </tp>
      <tp>
        <v>41943.463001655095</v>
        <stp/>
        <stp>YahooFinanceStocks</stp>
        <stp>FB</stp>
        <stp>rtd_LastUpdate</stp>
        <tr r="K5" s="3"/>
      </tp>
      <tp>
        <v>41943</v>
        <stp/>
        <stp>YahooFinanceHistoricalData</stp>
        <stp>YHOO</stp>
        <stp/>
        <stp>rtd_LastUpdateDate</stp>
        <tr r="Y10" s="4"/>
      </tp>
      <tp t="s">
        <v>NasdaqNM</v>
        <stp/>
        <stp>YahooFinanceQuotes</stp>
        <stp>GOOG</stp>
        <stp>StockExchange</stp>
        <tr r="AW6" s="1"/>
      </tp>
      <tp t="s">
        <v/>
        <stp/>
        <stp>YahooFinanceHistoricalData</stp>
        <stp>MSFT</stp>
        <stp/>
        <stp>rtd_LastMessage</stp>
        <tr r="W8" s="4"/>
      </tp>
      <tp>
        <v>105935800</v>
        <stp/>
        <stp>YahooFinanceHistoricalData</stp>
        <stp>FB</stp>
        <stp/>
        <stp>PrevVolume</stp>
        <tr r="U5" s="4"/>
      </tp>
      <tp>
        <v>19599</v>
        <stp/>
        <stp>YahooFinanceOptions</stp>
        <stp>AAPL</stp>
        <stp>42021</stp>
        <stp>100</stp>
        <stp>CALL</stp>
        <stp>Volume</stp>
        <tr r="N4" s="6"/>
      </tp>
      <tp>
        <v>34175200</v>
        <stp/>
        <stp>YahooFinanceQuotes</stp>
        <stp>MSFT</stp>
        <stp>AverageDailyVolume</stp>
        <tr r="AC8" s="1"/>
      </tp>
      <tp>
        <v>1588</v>
        <stp/>
        <stp>YahooFinanceOptions</stp>
        <stp>AAPL</stp>
        <stp>42021</stp>
        <stp>120</stp>
        <stp>CALL</stp>
        <stp>Volume</stp>
        <tr r="N5" s="6"/>
      </tp>
      <tp>
        <v>0</v>
        <stp/>
        <stp>YahooFinanceQuotes</stp>
        <stp>GOOG</stp>
        <stp>DividendShare</stp>
        <tr r="AM6" s="1"/>
      </tp>
      <tp>
        <v>18.05</v>
        <stp/>
        <stp>YahooFinanceQuotes</stp>
        <stp>MSFT</stp>
        <stp>PERatio</stp>
        <tr r="AE8" s="1"/>
      </tp>
      <tp>
        <v>41943.660903587966</v>
        <stp/>
        <stp>YahooFinanceQuotes</stp>
        <stp>FB</stp>
        <stp>rtd_LastUpdate</stp>
        <tr r="BB5" s="1"/>
      </tp>
      <tp>
        <v>15.85</v>
        <stp/>
        <stp>YahooFinanceOptions</stp>
        <stp>AAPL</stp>
        <stp>42384</stp>
        <stp>100</stp>
        <stp>CALL</stp>
        <stp>Mark</stp>
        <tr r="K6" s="6"/>
      </tp>
      <tp>
        <v>7.5</v>
        <stp/>
        <stp>YahooFinanceOptions</stp>
        <stp>AAPL</stp>
        <stp>42384</stp>
        <stp>120</stp>
        <stp>CALL</stp>
        <stp>Mark</stp>
        <tr r="K7" s="6"/>
      </tp>
      <tp>
        <v>15.86</v>
        <stp/>
        <stp>YahooFinanceOptions</stp>
        <stp>AAPL</stp>
        <stp>42384</stp>
        <stp>100</stp>
        <stp>CALL</stp>
        <stp>Last</stp>
        <tr r="H6" s="6"/>
      </tp>
      <tp>
        <v>7.51</v>
        <stp/>
        <stp>YahooFinanceOptions</stp>
        <stp>AAPL</stp>
        <stp>42384</stp>
        <stp>120</stp>
        <stp>CALL</stp>
        <stp>Last</stp>
        <tr r="H7" s="6"/>
      </tp>
      <tp>
        <v>604.83000000000004</v>
        <stp/>
        <stp>YahooFinanceQuotes</stp>
        <stp>GOOG</stp>
        <stp>YearHigh</stp>
        <tr r="P6" s="1"/>
      </tp>
      <tp>
        <v>41943</v>
        <stp/>
        <stp>YahooFinanceHistoricalData</stp>
        <stp>GOOG</stp>
        <stp/>
        <stp>rtd_LastUpdateDate</stp>
        <tr r="Y6" s="4"/>
      </tp>
      <tp>
        <v>46.15</v>
        <stp/>
        <stp>YahooFinanceQuotes</stp>
        <stp>YHOO</stp>
        <stp>YearHigh</stp>
        <tr r="P10" s="1"/>
      </tp>
      <tp>
        <v>31.44</v>
        <stp/>
        <stp>YahooFinanceQuotes</stp>
        <stp>FB</stp>
        <stp>ChangeFromYearLow</stp>
        <tr r="T5" s="1"/>
      </tp>
      <tp t="e">
        <v>#N/A</v>
        <stp/>
        <stp>YahooFinanceQuotes</stp>
        <stp>LNKD</stp>
        <stp>DividendYield</stp>
        <tr r="AL7" s="1"/>
      </tp>
      <tp>
        <v>41943</v>
        <stp/>
        <stp>YahooFinanceStocks</stp>
        <stp>LNKD</stp>
        <stp>rtd_LastUpdateDate</stp>
        <tr r="L7" s="3"/>
      </tp>
      <tp>
        <v>45.13</v>
        <stp/>
        <stp>YahooFinanceHistoricalData</stp>
        <stp>YHOO</stp>
        <stp/>
        <stp>PrevLow</stp>
        <tr r="R10" s="4"/>
      </tp>
      <tp>
        <v>546.98</v>
        <stp/>
        <stp>YahooFinanceHistoricalData</stp>
        <stp>GOOG</stp>
        <stp/>
        <stp>PrevLow</stp>
        <tr r="R6" s="4"/>
      </tp>
      <tp>
        <v>41943</v>
        <stp/>
        <stp>YahooFinanceHistoricalData</stp>
        <stp>LNKD</stp>
        <stp/>
        <stp>rtd_LastUpdateDate</stp>
        <tr r="Y7" s="4"/>
      </tp>
      <tp t="s">
        <v/>
        <stp/>
        <stp>YahooFinanceQuotes</stp>
        <stp>ORCL</stp>
        <stp>Notes</stp>
        <tr r="AY9" s="1"/>
      </tp>
      <tp>
        <v>2.3929999999999998</v>
        <stp/>
        <stp>YahooFinanceQuotes</stp>
        <stp>ORCL</stp>
        <stp>EarningsShare</stp>
        <tr r="AJ9" s="1"/>
      </tp>
      <tp>
        <v>41943</v>
        <stp/>
        <stp>YahooFinanceStocks</stp>
        <stp>MSFT</stp>
        <stp>rtd_LastUpdateDate</stp>
        <tr r="L8" s="3"/>
      </tp>
      <tp>
        <v>6.45</v>
        <stp/>
        <stp>YahooFinanceQuotes</stp>
        <stp>AAPL</stp>
        <stp>EarningsShare</stp>
        <tr r="AJ4" s="1"/>
      </tp>
      <tp>
        <v>-2.0736132711248745E-3</v>
        <stp/>
        <stp>YahooFinanceHistoricalData</stp>
        <stp>ORCL</stp>
        <stp/>
        <stp>ChangeInPercent</stp>
        <tr r="J9" s="4"/>
      </tp>
      <tp t="s">
        <v/>
        <stp/>
        <stp>YahooFinanceQuotes</stp>
        <stp>AAPL</stp>
        <stp>Notes</stp>
        <tr r="AY4" s="1"/>
      </tp>
      <tp>
        <v>550.30999999999995</v>
        <stp/>
        <stp>YahooFinanceQuotes</stp>
        <stp>GOOG</stp>
        <stp>PreviousClose</stp>
        <tr r="N6" s="1"/>
      </tp>
      <tp>
        <v>38.6</v>
        <stp/>
        <stp>YahooFinanceQuotes</stp>
        <stp>FB</stp>
        <stp>PriceEPSEstimateNextYear</stp>
        <tr r="AT5" s="1"/>
      </tp>
      <tp>
        <v>7.4790000000000001</v>
        <stp/>
        <stp>YahooFinanceQuotes</stp>
        <stp>YHOO</stp>
        <stp>EarningsShare</stp>
        <tr r="AJ10" s="1"/>
      </tp>
      <tp t="s">
        <v/>
        <stp/>
        <stp>YahooFinanceQuotes</stp>
        <stp>YHOO</stp>
        <stp>Notes</stp>
        <tr r="AY10" s="1"/>
      </tp>
      <tp>
        <v>202.9</v>
        <stp/>
        <stp>YahooFinanceQuotes</stp>
        <stp>LNKD</stp>
        <stp>PreviousClose</stp>
        <tr r="N7" s="1"/>
      </tp>
      <tp>
        <v>41943</v>
        <stp/>
        <stp>YahooFinanceQuotes</stp>
        <stp>YHOO</stp>
        <stp>rtd_LastUpdateDate</stp>
        <tr r="BC10" s="1"/>
      </tp>
      <tp t="s">
        <v/>
        <stp/>
        <stp>YahooFinanceHistoricalData</stp>
        <stp>ORCL</stp>
        <stp/>
        <stp>rtd_LastMessage</stp>
        <tr r="W9" s="4"/>
      </tp>
      <tp>
        <v>554.75</v>
        <stp/>
        <stp>YahooFinanceWatchList</stp>
        <stp>GOOG</stp>
        <stp>Low</stp>
        <tr r="L6" s="2"/>
      </tp>
      <tp>
        <v>0.56499999999999995</v>
        <stp/>
        <stp>YahooFinanceOptions</stp>
        <stp>AAPL</stp>
        <stp>42021</stp>
        <stp>120</stp>
        <stp>CALL</stp>
        <stp>Mark</stp>
        <tr r="K5" s="6"/>
      </tp>
      <tp>
        <v>8.75</v>
        <stp/>
        <stp>YahooFinanceOptions</stp>
        <stp>AAPL</stp>
        <stp>42021</stp>
        <stp>100</stp>
        <stp>CALL</stp>
        <stp>Mark</stp>
        <tr r="K4" s="6"/>
      </tp>
      <tp>
        <v>0.56000000000000005</v>
        <stp/>
        <stp>YahooFinanceOptions</stp>
        <stp>AAPL</stp>
        <stp>42021</stp>
        <stp>120</stp>
        <stp>CALL</stp>
        <stp>Last</stp>
        <tr r="H5" s="6"/>
      </tp>
      <tp>
        <v>8.75</v>
        <stp/>
        <stp>YahooFinanceOptions</stp>
        <stp>AAPL</stp>
        <stp>42021</stp>
        <stp>100</stp>
        <stp>CALL</stp>
        <stp>Last</stp>
        <tr r="H4" s="6"/>
      </tp>
      <tp t="e">
        <v>#N/A</v>
        <stp/>
        <stp>YahooFinanceQuotes</stp>
        <stp>GOOG</stp>
        <stp>DividendYield</stp>
        <tr r="AL6" s="1"/>
      </tp>
      <tp>
        <v>41943</v>
        <stp/>
        <stp>YahooFinanceStocks</stp>
        <stp>ORCL</stp>
        <stp>rtd_LastUpdateDate</stp>
        <tr r="L9" s="3"/>
      </tp>
      <tp>
        <v>0.46294748842592592</v>
        <stp/>
        <stp>YahooFinanceStocks</stp>
        <stp>GOOG</stp>
        <stp>rtd_LastUpdateTime</stp>
        <tr r="M6" s="3"/>
      </tp>
      <tp>
        <v>222.73</v>
        <stp/>
        <stp>YahooFinanceWatchList</stp>
        <stp>LNKD</stp>
        <stp>Low</stp>
        <tr r="L7" s="2"/>
      </tp>
      <tp t="s">
        <v>AAPL150117C00100000</v>
        <stp/>
        <stp>YahooFinanceOptions</stp>
        <stp>AAPL150117C00100000</stp>
        <stp>OptionCode</stp>
        <tr r="C4" s="5"/>
      </tp>
      <tp t="s">
        <v>AAPL150117C00120000</v>
        <stp/>
        <stp>YahooFinanceOptions</stp>
        <stp>AAPL150117C00120000</stp>
        <stp>OptionCode</stp>
        <tr r="C5" s="5"/>
      </tp>
      <tp t="s">
        <v>AAPL160115C00100000</v>
        <stp/>
        <stp>YahooFinanceOptions</stp>
        <stp>AAPL160115C00100000</stp>
        <stp>OptionCode</stp>
        <tr r="C6" s="5"/>
      </tp>
      <tp t="s">
        <v>AAPL160115C00120000</v>
        <stp/>
        <stp>YahooFinanceOptions</stp>
        <stp>AAPL160115C00120000</stp>
        <stp>OptionCode</stp>
        <tr r="C7" s="5"/>
      </tp>
      <tp>
        <v>41943</v>
        <stp/>
        <stp>YahooFinanceHistoricalData</stp>
        <stp>MSFT</stp>
        <stp/>
        <stp>rtd_LastUpdateDate</stp>
        <tr r="Y8" s="4"/>
      </tp>
      <tp>
        <v>40682</v>
        <stp/>
        <stp>YahooFinanceStocks</stp>
        <stp>LNKD</stp>
        <stp>Start</stp>
        <tr r="G7" s="3"/>
      </tp>
      <tp>
        <v>0.02</v>
        <stp/>
        <stp>YahooFinanceOptions</stp>
        <stp>AAPL</stp>
        <stp>42021</stp>
        <stp>120</stp>
        <stp>CALL</stp>
        <stp>Change</stp>
        <tr r="I5" s="6"/>
      </tp>
      <tp>
        <v>0.5</v>
        <stp/>
        <stp>YahooFinanceOptions</stp>
        <stp>AAPL</stp>
        <stp>42021</stp>
        <stp>100</stp>
        <stp>CALL</stp>
        <stp>Change</stp>
        <tr r="I4" s="6"/>
      </tp>
      <tp>
        <v>41943</v>
        <stp/>
        <stp>YahooFinanceQuotes</stp>
        <stp>GOOG</stp>
        <stp>rtd_LastUpdateDate</stp>
        <tr r="BC6" s="1"/>
      </tp>
      <tp>
        <v>0.6608347916666667</v>
        <stp/>
        <stp>YahooFinanceQuotes</stp>
        <stp>ORCL</stp>
        <stp>rtd_LastUpdateTime</stp>
        <tr r="BD9" s="1"/>
      </tp>
      <tp>
        <v>6.1</v>
        <stp/>
        <stp>YahooFinanceQuotes</stp>
        <stp>YHOO</stp>
        <stp>PERatio</stp>
        <tr r="AE10" s="1"/>
      </tp>
      <tp>
        <v>-2.5600000000000001E-2</v>
        <stp/>
        <stp>YahooFinanceQuotes</stp>
        <stp>FB</stp>
        <stp>PercentChangeFromFiftyDayMovingAverage</stp>
        <tr r="AA5" s="1"/>
      </tp>
      <tp>
        <v>41943</v>
        <stp/>
        <stp>YahooFinanceHistoricalData</stp>
        <stp>ORCL</stp>
        <stp/>
        <stp>rtd_LastUpdateDate</stp>
        <tr r="Y9" s="4"/>
      </tp>
      <tp>
        <v>0.46291047453703704</v>
        <stp/>
        <stp>YahooFinanceStocks</stp>
        <stp>YHOO</stp>
        <stp>rtd_LastUpdateTime</stp>
        <tr r="M10" s="3"/>
      </tp>
      <tp>
        <v>0.72189999999999999</v>
        <stp/>
        <stp>YahooFinanceQuotes</stp>
        <stp>FB</stp>
        <stp>PercentChangeFromYearLow</stp>
        <tr r="V5" s="1"/>
      </tp>
      <tp t="s">
        <v>Business Software &amp; Services</v>
        <stp/>
        <stp>YahooFinanceStocks</stp>
        <stp>MSFT</stp>
        <stp>Industry</stp>
        <tr r="E8" s="3"/>
      </tp>
      <tp>
        <v>41943</v>
        <stp/>
        <stp>YahooFinanceQuotes</stp>
        <stp>MSFT</stp>
        <stp>LastTradeDate</stp>
        <tr r="C8" s="1"/>
      </tp>
      <tp>
        <v>0.66079309027777777</v>
        <stp/>
        <stp>YahooFinanceQuotes</stp>
        <stp>MSFT</stp>
        <stp>rtd_LastUpdateTime</stp>
        <tr r="BD8" s="1"/>
      </tp>
      <tp>
        <v>46.48</v>
        <stp/>
        <stp>YahooFinanceWatchList</stp>
        <stp>MSFT</stp>
        <stp>Low</stp>
        <tr r="L8" s="2"/>
      </tp>
      <tp>
        <v>107.37</v>
        <stp/>
        <stp>YahooFinanceQuotes</stp>
        <stp>AAPL</stp>
        <stp>YearHigh</stp>
        <tr r="P4" s="1"/>
      </tp>
      <tp>
        <v>0.66091767361111109</v>
        <stp/>
        <stp>YahooFinanceQuotes</stp>
        <stp>LNKD</stp>
        <stp>rtd_LastUpdateTime</stp>
        <tr r="BD7" s="1"/>
      </tp>
      <tp>
        <v>0.36</v>
        <stp/>
        <stp>YahooFinanceOptions</stp>
        <stp>AAPL</stp>
        <stp>42384</stp>
        <stp>100</stp>
        <stp>CALL</stp>
        <stp>Change</stp>
        <tr r="I6" s="6"/>
      </tp>
      <tp>
        <v>0.31</v>
        <stp/>
        <stp>YahooFinanceOptions</stp>
        <stp>AAPL</stp>
        <stp>42384</stp>
        <stp>120</stp>
        <stp>CALL</stp>
        <stp>Change</stp>
        <tr r="I7" s="6"/>
      </tp>
      <tp>
        <v>41725</v>
        <stp/>
        <stp>YahooFinanceStocks</stp>
        <stp>GOOG</stp>
        <stp>Start</stp>
        <tr r="G6" s="3"/>
      </tp>
      <tp>
        <v>106.36</v>
        <stp/>
        <stp>YahooFinanceHistoricalData</stp>
        <stp>AAPL</stp>
        <stp/>
        <stp>PrevLow</stp>
        <tr r="R4" s="4"/>
      </tp>
      <tp>
        <v>38.825000000000003</v>
        <stp/>
        <stp>YahooFinanceWatchList</stp>
        <stp>ORCL</stp>
        <stp>Low</stp>
        <tr r="L9" s="2"/>
      </tp>
      <tp>
        <v>0</v>
        <stp/>
        <stp>YahooFinanceQuotes</stp>
        <stp>LNKD</stp>
        <stp>rtd_LastError</stp>
        <tr r="AZ7" s="1"/>
      </tp>
      <tp>
        <v>0</v>
        <stp/>
        <stp>YahooFinanceStocks</stp>
        <stp>LNKD</stp>
        <stp>rtd_LastError</stp>
        <tr r="I7" s="3"/>
      </tp>
      <tp>
        <v>2.5510000000000002</v>
        <stp/>
        <stp>YahooFinanceQuotes</stp>
        <stp>MSFT</stp>
        <stp>EarningsShare</stp>
        <tr r="AJ8" s="1"/>
      </tp>
      <tp t="s">
        <v/>
        <stp/>
        <stp>YahooFinanceQuotes</stp>
        <stp>MSFT</stp>
        <stp>Notes</stp>
        <tr r="AY8" s="1"/>
      </tp>
      <tp>
        <v>0</v>
        <stp/>
        <stp>YahooFinanceOptions</stp>
        <stp>AAPL</stp>
        <stp>42021</stp>
        <stp>120</stp>
        <stp>CALL</stp>
        <stp>rtd_LastError</stp>
        <tr r="P5" s="6"/>
      </tp>
      <tp>
        <v>0</v>
        <stp/>
        <stp>YahooFinanceOptions</stp>
        <stp>AAPL</stp>
        <stp>42021</stp>
        <stp>100</stp>
        <stp>CALL</stp>
        <stp>rtd_LastError</stp>
        <tr r="P4" s="6"/>
      </tp>
      <tp>
        <v>0</v>
        <stp/>
        <stp>YahooFinanceOptions</stp>
        <stp>AAPL</stp>
        <stp>42384</stp>
        <stp>100</stp>
        <stp>CALL</stp>
        <stp>rtd_LastError</stp>
        <tr r="P6" s="6"/>
      </tp>
      <tp>
        <v>0</v>
        <stp/>
        <stp>YahooFinanceOptions</stp>
        <stp>AAPL</stp>
        <stp>42384</stp>
        <stp>120</stp>
        <stp>CALL</stp>
        <stp>rtd_LastError</stp>
        <tr r="P7" s="6"/>
      </tp>
      <tp>
        <v>41943</v>
        <stp/>
        <stp>YahooFinanceQuotes</stp>
        <stp>AAPL</stp>
        <stp>rtd_LastUpdateDate</stp>
        <tr r="BC4" s="1"/>
      </tp>
      <tp t="e">
        <v>#N/A</v>
        <stp/>
        <stp>YahooFinanceQuotes</stp>
        <stp>LNKD</stp>
        <stp>PERatio</stp>
        <tr r="AE7" s="1"/>
      </tp>
      <tp>
        <v>0</v>
        <stp/>
        <stp>YahooFinanceQuotes</stp>
        <stp>GOOG</stp>
        <stp>rtd_LastError</stp>
        <tr r="AZ6" s="1"/>
      </tp>
      <tp t="s">
        <v>Application Software</v>
        <stp/>
        <stp>YahooFinanceStocks</stp>
        <stp>ORCL</stp>
        <stp>Industry</stp>
        <tr r="E9" s="3"/>
      </tp>
      <tp>
        <v>0</v>
        <stp/>
        <stp>YahooFinanceStocks</stp>
        <stp>GOOG</stp>
        <stp>rtd_LastError</stp>
        <tr r="I6" s="3"/>
      </tp>
      <tp>
        <v>28.96</v>
        <stp/>
        <stp>YahooFinanceQuotes</stp>
        <stp>GOOG</stp>
        <stp>PERatio</stp>
        <tr r="AE6" s="1"/>
      </tp>
      <tp>
        <v>68.56</v>
        <stp/>
        <stp>YahooFinanceQuotes</stp>
        <stp>FB</stp>
        <stp>PERatio</stp>
        <tr r="AE5" s="1"/>
      </tp>
      <tp>
        <v>0.63833431712962962</v>
        <stp/>
        <stp>YahooFinanceHistoricalData</stp>
        <stp>MSFT</stp>
        <stp/>
        <stp>rtd_LastUpdateTime</stp>
        <tr r="Z8" s="4"/>
      </tp>
      <tp>
        <v>0.66079886574074076</v>
        <stp/>
        <stp>YahooFinanceQuotes</stp>
        <stp>GOOG</stp>
        <stp>rtd_LastUpdateTime</stp>
        <tr r="BD6" s="1"/>
      </tp>
      <tp>
        <v>31483</v>
        <stp/>
        <stp>YahooFinanceStocks</stp>
        <stp>ORCL</stp>
        <stp>Start</stp>
        <tr r="G9" s="3"/>
      </tp>
      <tp>
        <v>41943</v>
        <stp/>
        <stp>YahooFinanceQuotes</stp>
        <stp>ORCL</stp>
        <stp>rtd_LastUpdateDate</stp>
        <tr r="BC9" s="1"/>
      </tp>
      <tp t="s">
        <v>NasdaqNM</v>
        <stp/>
        <stp>YahooFinanceQuotes</stp>
        <stp>MSFT</stp>
        <stp>StockExchange</stp>
        <tr r="AW8" s="1"/>
      </tp>
      <tp>
        <v>29567</v>
        <stp/>
        <stp>YahooFinanceStocks</stp>
        <stp>AAPL</stp>
        <stp>Start</stp>
        <tr r="G4" s="3"/>
      </tp>
      <tp>
        <v>1.1200000000000001</v>
        <stp/>
        <stp>YahooFinanceQuotes</stp>
        <stp>MSFT</stp>
        <stp>DividendShare</stp>
        <tr r="AM8" s="1"/>
      </tp>
      <tp>
        <v>0.63831824074074073</v>
        <stp/>
        <stp>YahooFinanceHistoricalData</stp>
        <stp>ORCL</stp>
        <stp/>
        <stp>rtd_LastUpdateTime</stp>
        <tr r="Z9" s="4"/>
      </tp>
      <tp>
        <v>41943</v>
        <stp/>
        <stp>YahooFinanceStocks</stp>
        <stp>YHOO</stp>
        <stp>rtd_LastUpdateDate</stp>
        <tr r="L10" s="3"/>
      </tp>
      <tp>
        <v>16.59</v>
        <stp/>
        <stp>YahooFinanceQuotes</stp>
        <stp>AAPL</stp>
        <stp>PERatio</stp>
        <tr r="AE4" s="1"/>
      </tp>
      <tp>
        <v>1.1200000000000001</v>
        <stp/>
        <stp>YahooFinanceQuotes</stp>
        <stp>FB</stp>
        <stp>PEGRatio</stp>
        <tr r="AF5" s="1"/>
      </tp>
      <tp>
        <v>41943</v>
        <stp/>
        <stp>YahooFinanceQuotes</stp>
        <stp>MSFT</stp>
        <stp>rtd_LastUpdateDate</stp>
        <tr r="BC8" s="1"/>
      </tp>
      <tp>
        <v>0.65</v>
        <stp/>
        <stp>YahooFinanceQuotes</stp>
        <stp>MSFT</stp>
        <stp>LastTradeTime</stp>
        <tr r="D8" s="1"/>
      </tp>
      <tp>
        <v>0.48</v>
        <stp/>
        <stp>YahooFinanceQuotes</stp>
        <stp>FB</stp>
        <stp>EPSEstimateNextQuarter</stp>
        <tr r="AH5" s="1"/>
      </tp>
      <tp t="s">
        <v>Internet Information Providers</v>
        <stp/>
        <stp>YahooFinanceStocks</stp>
        <stp>GOOG</stp>
        <stp>Industry</stp>
        <tr r="E6" s="3"/>
      </tp>
      <tp t="s">
        <v>Internet Information Providers</v>
        <stp/>
        <stp>YahooFinanceStocks</stp>
        <stp>YHOO</stp>
        <stp>Industry</stp>
        <tr r="E10" s="3"/>
      </tp>
      <tp>
        <v>35167</v>
        <stp/>
        <stp>YahooFinanceStocks</stp>
        <stp>YHOO</stp>
        <stp>Start</stp>
        <tr r="G10" s="3"/>
      </tp>
      <tp>
        <v>41943</v>
        <stp/>
        <stp>YahooFinanceQuotes</stp>
        <stp>LNKD</stp>
        <stp>rtd_LastUpdateDate</stp>
        <tr r="BC7" s="1"/>
      </tp>
      <tp>
        <v>0</v>
        <stp/>
        <stp>YahooFinanceQuotes</stp>
        <stp>AAPL</stp>
        <stp>rtd_LastError</stp>
        <tr r="AZ4" s="1"/>
      </tp>
      <tp>
        <v>0</v>
        <stp/>
        <stp>YahooFinanceQuotes</stp>
        <stp>ORCL</stp>
        <stp>rtd_LastError</stp>
        <tr r="AZ9" s="1"/>
      </tp>
      <tp>
        <v>0</v>
        <stp/>
        <stp>YahooFinanceStocks</stp>
        <stp>AAPL</stp>
        <stp>rtd_LastError</stp>
        <tr r="I4" s="3"/>
      </tp>
      <tp>
        <v>0</v>
        <stp/>
        <stp>YahooFinanceStocks</stp>
        <stp>ORCL</stp>
        <stp>rtd_LastError</stp>
        <tr r="I9" s="3"/>
      </tp>
      <tp>
        <v>2.4300000000000002</v>
        <stp/>
        <stp>YahooFinanceQuotes</stp>
        <stp>MSFT</stp>
        <stp>DividendYield</stp>
        <tr r="AL8" s="1"/>
      </tp>
      <tp t="s">
        <v>AAPL</v>
        <stp/>
        <stp>YahooFinanceOptions</stp>
        <stp>AAPL</stp>
        <stp>42021</stp>
        <stp>120</stp>
        <stp>CALL</stp>
        <stp>Symbol</stp>
        <tr r="G5" s="6"/>
      </tp>
      <tp t="s">
        <v>AAPL</v>
        <stp/>
        <stp>YahooFinanceOptions</stp>
        <stp>AAPL</stp>
        <stp>42021</stp>
        <stp>100</stp>
        <stp>CALL</stp>
        <stp>Symbol</stp>
        <tr r="G4" s="6"/>
      </tp>
      <tp>
        <v>0</v>
        <stp/>
        <stp>YahooFinanceOptions</stp>
        <stp>AAPL150117C00120000</stp>
        <stp>rtd_LastError</stp>
        <tr r="Q5" s="5"/>
      </tp>
      <tp>
        <v>0</v>
        <stp/>
        <stp>YahooFinanceOptions</stp>
        <stp>AAPL160115C00120000</stp>
        <stp>rtd_LastError</stp>
        <tr r="Q7" s="5"/>
      </tp>
      <tp t="s">
        <v/>
        <stp/>
        <stp>YahooFinanceHistoricalData</stp>
        <stp>AAPL</stp>
        <stp/>
        <stp>rtd_LastMessage</stp>
        <tr r="W4" s="4"/>
      </tp>
      <tp t="s">
        <v>6.194B</v>
        <stp/>
        <stp>YahooFinanceQuotes</stp>
        <stp>FB</stp>
        <stp>EBITDA</stp>
        <tr r="AU5" s="1"/>
      </tp>
      <tp>
        <v>-3.3538289547233591E-3</v>
        <stp/>
        <stp>YahooFinanceHistoricalData</stp>
        <stp>AAPL</stp>
        <stp/>
        <stp>ChangeInPercent</stp>
        <tr r="J4" s="4"/>
      </tp>
      <tp>
        <v>0.66088931712962962</v>
        <stp/>
        <stp>YahooFinanceQuotes</stp>
        <stp>AAPL</stp>
        <stp>rtd_LastUpdateTime</stp>
        <tr r="BD4" s="1"/>
      </tp>
      <tp>
        <v>46.05</v>
        <stp/>
        <stp>YahooFinanceQuotes</stp>
        <stp>MSFT</stp>
        <stp>PreviousClose</stp>
        <tr r="N8" s="1"/>
      </tp>
      <tp>
        <v>87.85</v>
        <stp/>
        <stp>YahooFinanceQuotes</stp>
        <stp>FB</stp>
        <stp>OneYrTargetPrice</stp>
        <tr r="AD5" s="1"/>
      </tp>
      <tp t="s">
        <v>Internet Information Providers</v>
        <stp/>
        <stp>YahooFinanceStocks</stp>
        <stp>LNKD</stp>
        <stp>Industry</stp>
        <tr r="E7" s="3"/>
      </tp>
      <tp>
        <v>0</v>
        <stp/>
        <stp>YahooFinanceStocks</stp>
        <stp>YHOO</stp>
        <stp>rtd_LastError</stp>
        <tr r="I10" s="3"/>
      </tp>
      <tp>
        <v>0</v>
        <stp/>
        <stp>YahooFinanceQuotes</stp>
        <stp>YHOO</stp>
        <stp>rtd_LastError</stp>
        <tr r="AZ10" s="1"/>
      </tp>
      <tp>
        <v>34564400</v>
        <stp/>
        <stp>YahooFinanceQuotes</stp>
        <stp>YHOO</stp>
        <stp>AverageDailyVolume</stp>
        <tr r="AC10" s="1"/>
      </tp>
      <tp>
        <v>0</v>
        <stp/>
        <stp>YahooFinanceOptions</stp>
        <stp>AAPL150117C00100000</stp>
        <stp>rtd_LastError</stp>
        <tr r="Q4" s="5"/>
      </tp>
      <tp>
        <v>0</v>
        <stp/>
        <stp>YahooFinanceOptions</stp>
        <stp>AAPL160115C00100000</stp>
        <stp>rtd_LastError</stp>
        <tr r="Q6" s="5"/>
      </tp>
      <tp t="s">
        <v>AAPL</v>
        <stp/>
        <stp>YahooFinanceOptions</stp>
        <stp>AAPL</stp>
        <stp>42384</stp>
        <stp>100</stp>
        <stp>CALL</stp>
        <stp>Symbol</stp>
        <tr r="G6" s="6"/>
      </tp>
      <tp t="s">
        <v>AAPL</v>
        <stp/>
        <stp>YahooFinanceOptions</stp>
        <stp>AAPL</stp>
        <stp>42384</stp>
        <stp>120</stp>
        <stp>CALL</stp>
        <stp>Symbol</stp>
        <tr r="G7" s="6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volatileDependencies" Target="volatileDependenci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le2" displayName="Table2" ref="B3:R10" totalsRowShown="0">
  <tableColumns count="17">
    <tableColumn id="1" name="Symbol" dataDxfId="181"/>
    <tableColumn id="2" name="LastTradeDateTime" dataDxfId="180">
      <calculatedColumnFormula>RTD("gartle.rtd",,"YahooFinanceWatchList",Table2[Symbol],"LastTradeDateTime")</calculatedColumnFormula>
    </tableColumn>
    <tableColumn id="3" name="LastTradeDate" dataDxfId="179">
      <calculatedColumnFormula>RTD("gartle.rtd",,"YahooFinanceWatchList",Table2[Symbol],"LastTradeDate")</calculatedColumnFormula>
    </tableColumn>
    <tableColumn id="4" name="LastTradeTime" dataDxfId="178">
      <calculatedColumnFormula>RTD("gartle.rtd",,"YahooFinanceWatchList",Table2[Symbol],"LastTradeTime")</calculatedColumnFormula>
    </tableColumn>
    <tableColumn id="17" name="LastTick" dataDxfId="177">
      <calculatedColumnFormula>RTD("gartle.rtd",,"YahooFinanceWatchList",Table2[Symbol],"Last:tick")</calculatedColumnFormula>
    </tableColumn>
    <tableColumn id="5" name="Last" dataDxfId="176">
      <calculatedColumnFormula>RTD("gartle.rtd",,"YahooFinanceWatchList",Table2[Symbol],"Last")</calculatedColumnFormula>
    </tableColumn>
    <tableColumn id="6" name="Change" dataDxfId="175">
      <calculatedColumnFormula>RTD("gartle.rtd",,"YahooFinanceWatchList",Table2[Symbol],"Change")</calculatedColumnFormula>
    </tableColumn>
    <tableColumn id="7" name="PercentChange" dataDxfId="174">
      <calculatedColumnFormula>RTD("gartle.rtd",,"YahooFinanceWatchList",Table2[Symbol],"ChangeInPercent")</calculatedColumnFormula>
    </tableColumn>
    <tableColumn id="8" name="Open" dataDxfId="173">
      <calculatedColumnFormula>RTD("gartle.rtd",,"YahooFinanceWatchList",Table2[Symbol],"Open")</calculatedColumnFormula>
    </tableColumn>
    <tableColumn id="9" name="High" dataDxfId="172">
      <calculatedColumnFormula>RTD("gartle.rtd",,"YahooFinanceWatchList",Table2[Symbol],"High")</calculatedColumnFormula>
    </tableColumn>
    <tableColumn id="10" name="Low" dataDxfId="171">
      <calculatedColumnFormula>RTD("gartle.rtd",,"YahooFinanceWatchList",Table2[Symbol],"Low")</calculatedColumnFormula>
    </tableColumn>
    <tableColumn id="11" name="Volume" dataDxfId="170">
      <calculatedColumnFormula>RTD("gartle.rtd",,"YahooFinanceWatchList",Table2[Symbol],"Volume")</calculatedColumnFormula>
    </tableColumn>
    <tableColumn id="12" name="rtd_LastError" dataDxfId="169">
      <calculatedColumnFormula>RTD("gartle.rtd",,"YahooFinanceWatchList",Table2[Symbol],"rtd_LastError")</calculatedColumnFormula>
    </tableColumn>
    <tableColumn id="13" name="rtd_LastMessage" dataDxfId="168">
      <calculatedColumnFormula>RTD("gartle.rtd",,"YahooFinanceWatchList",Table2[Symbol],"rtd_LastMessage")</calculatedColumnFormula>
    </tableColumn>
    <tableColumn id="14" name="rtd_LastUpdate" dataDxfId="167">
      <calculatedColumnFormula>RTD("gartle.rtd",,"YahooFinanceWatchList",Table2[Symbol],"rtd_LastUpdate")</calculatedColumnFormula>
    </tableColumn>
    <tableColumn id="15" name="rtd_LastUpdateDate" dataDxfId="166">
      <calculatedColumnFormula>RTD("gartle.rtd",,"YahooFinanceWatchList",Table2[Symbol],"rtd_LastUpdateDate")</calculatedColumnFormula>
    </tableColumn>
    <tableColumn id="16" name="rtd_LastUpdateTime" dataDxfId="165">
      <calculatedColumnFormula>RTD("gartle.rtd",,"YahooFinanceWatchList",Table2[Symbol],"rtd_LastUpdateTime")</calculatedColumnFormula>
    </tableColumn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id="1" name="Table1" displayName="Table1" ref="B3:BD10" totalsRowShown="0">
  <tableColumns count="55">
    <tableColumn id="1" name="Symbol" dataDxfId="164"/>
    <tableColumn id="2" name="LastTradeDate" dataDxfId="163">
      <calculatedColumnFormula>RTD("gartle.rtd",,"YahooFinanceQuotes",Table1[Symbol],"LastTradeDate")</calculatedColumnFormula>
    </tableColumn>
    <tableColumn id="3" name="LastTradeTime" dataDxfId="162">
      <calculatedColumnFormula>RTD("gartle.rtd",,"YahooFinanceQuotes",Table1[Symbol],"LastTradeTime")</calculatedColumnFormula>
    </tableColumn>
    <tableColumn id="55" name="LastTick" dataDxfId="161">
      <calculatedColumnFormula>RTD("gartle.rtd",,"YahooFinanceQuotes",Table1[Symbol],"Last:tick")</calculatedColumnFormula>
    </tableColumn>
    <tableColumn id="4" name="Last" dataDxfId="160">
      <calculatedColumnFormula>RTD("gartle.rtd",,"YahooFinanceQuotes",Table1[Symbol],"Last")</calculatedColumnFormula>
    </tableColumn>
    <tableColumn id="5" name="Change" dataDxfId="16">
      <calculatedColumnFormula>RTD("gartle.rtd",,"YahooFinanceQuotes",Table1[Symbol],"Change")</calculatedColumnFormula>
    </tableColumn>
    <tableColumn id="6" name="PercentChange" dataDxfId="159">
      <calculatedColumnFormula>RTD("gartle.rtd",,"YahooFinanceQuotes",Table1[Symbol],"ChangeInPercent")</calculatedColumnFormula>
    </tableColumn>
    <tableColumn id="7" name="Open" dataDxfId="158">
      <calculatedColumnFormula>RTD("gartle.rtd",,"YahooFinanceQuotes",Table1[Symbol],"Open")</calculatedColumnFormula>
    </tableColumn>
    <tableColumn id="8" name="High" dataDxfId="157">
      <calculatedColumnFormula>RTD("gartle.rtd",,"YahooFinanceQuotes",Table1[Symbol],"High")</calculatedColumnFormula>
    </tableColumn>
    <tableColumn id="9" name="Low" dataDxfId="156">
      <calculatedColumnFormula>RTD("gartle.rtd",,"YahooFinanceQuotes",Table1[Symbol],"Low")</calculatedColumnFormula>
    </tableColumn>
    <tableColumn id="10" name="Volume" dataDxfId="155">
      <calculatedColumnFormula>RTD("gartle.rtd",,"YahooFinanceQuotes",Table1[Symbol],"Volume")</calculatedColumnFormula>
    </tableColumn>
    <tableColumn id="11" name="DaysRange" dataDxfId="154">
      <calculatedColumnFormula>RTD("gartle.rtd",,"YahooFinanceQuotes",Table1[Symbol],"DaysRange")</calculatedColumnFormula>
    </tableColumn>
    <tableColumn id="12" name="PrevClose" dataDxfId="153">
      <calculatedColumnFormula>RTD("gartle.rtd",,"YahooFinanceQuotes",Table1[Symbol],"PreviousClose")</calculatedColumnFormula>
    </tableColumn>
    <tableColumn id="13" name="ShortRatio" dataDxfId="152">
      <calculatedColumnFormula>RTD("gartle.rtd",,"YahooFinanceQuotes",Table1[Symbol],"ShortRatio")</calculatedColumnFormula>
    </tableColumn>
    <tableColumn id="14" name="YearHigh" dataDxfId="151">
      <calculatedColumnFormula>RTD("gartle.rtd",,"YahooFinanceQuotes",Table1[Symbol],"YearHigh")</calculatedColumnFormula>
    </tableColumn>
    <tableColumn id="15" name="YearLow" dataDxfId="150">
      <calculatedColumnFormula>RTD("gartle.rtd",,"YahooFinanceQuotes",Table1[Symbol],"YearLow")</calculatedColumnFormula>
    </tableColumn>
    <tableColumn id="16" name="YearRange" dataDxfId="149">
      <calculatedColumnFormula>RTD("gartle.rtd",,"YahooFinanceQuotes",Table1[Symbol],"YearRange")</calculatedColumnFormula>
    </tableColumn>
    <tableColumn id="17" name="ChangeFromYearHigh" dataDxfId="148">
      <calculatedColumnFormula>RTD("gartle.rtd",,"YahooFinanceQuotes",Table1[Symbol],"ChangeFromYearHigh")</calculatedColumnFormula>
    </tableColumn>
    <tableColumn id="18" name="ChangeFromYearLow" dataDxfId="147">
      <calculatedColumnFormula>RTD("gartle.rtd",,"YahooFinanceQuotes",Table1[Symbol],"ChangeFromYearLow")</calculatedColumnFormula>
    </tableColumn>
    <tableColumn id="19" name="PercentChangeFromYearHigh" dataDxfId="146">
      <calculatedColumnFormula>RTD("gartle.rtd",,"YahooFinanceQuotes",Table1[Symbol],"PercentChangeFromYearHigh")</calculatedColumnFormula>
    </tableColumn>
    <tableColumn id="20" name="PercentChangeFromYearLow" dataDxfId="145">
      <calculatedColumnFormula>RTD("gartle.rtd",,"YahooFinanceQuotes",Table1[Symbol],"PercentChangeFromYearLow")</calculatedColumnFormula>
    </tableColumn>
    <tableColumn id="21" name="MA50" dataDxfId="144">
      <calculatedColumnFormula>RTD("gartle.rtd",,"YahooFinanceQuotes",Table1[Symbol],"FiftydayMovingAverage")</calculatedColumnFormula>
    </tableColumn>
    <tableColumn id="22" name="MA200" dataDxfId="143">
      <calculatedColumnFormula>RTD("gartle.rtd",,"YahooFinanceQuotes",Table1[Symbol],"TwoHundredDayMovingAverage")</calculatedColumnFormula>
    </tableColumn>
    <tableColumn id="23" name="ChangeFromMA50" dataDxfId="142">
      <calculatedColumnFormula>RTD("gartle.rtd",,"YahooFinanceQuotes",Table1[Symbol],"ChangeFromFiftyDayMovingAverage")</calculatedColumnFormula>
    </tableColumn>
    <tableColumn id="24" name="ChangeFromMA200" dataDxfId="141">
      <calculatedColumnFormula>RTD("gartle.rtd",,"YahooFinanceQuotes",Table1[Symbol],"ChangeFromTwoHundredDayMovingAverage")</calculatedColumnFormula>
    </tableColumn>
    <tableColumn id="25" name="PercentChangeFromMA50" dataDxfId="140">
      <calculatedColumnFormula>RTD("gartle.rtd",,"YahooFinanceQuotes",Table1[Symbol],"PercentChangeFromFiftyDayMovingAverage")</calculatedColumnFormula>
    </tableColumn>
    <tableColumn id="26" name="PercentChangeFromMA200" dataDxfId="139">
      <calculatedColumnFormula>RTD("gartle.rtd",,"YahooFinanceQuotes",Table1[Symbol],"PercentChangeFromTwoHundredDayMovingAverage")</calculatedColumnFormula>
    </tableColumn>
    <tableColumn id="27" name="AverageDailyVolume" dataDxfId="138">
      <calculatedColumnFormula>RTD("gartle.rtd",,"YahooFinanceQuotes",Table1[Symbol],"AverageDailyVolume")</calculatedColumnFormula>
    </tableColumn>
    <tableColumn id="28" name="OneYearTargetPrice" dataDxfId="137">
      <calculatedColumnFormula>RTD("gartle.rtd",,"YahooFinanceQuotes",Table1[Symbol],"OneYrTargetPrice")</calculatedColumnFormula>
    </tableColumn>
    <tableColumn id="29" name="PE" dataDxfId="136">
      <calculatedColumnFormula>RTD("gartle.rtd",,"YahooFinanceQuotes",Table1[Symbol],"PERatio")</calculatedColumnFormula>
    </tableColumn>
    <tableColumn id="30" name="PEG" dataDxfId="135">
      <calculatedColumnFormula>RTD("gartle.rtd",,"YahooFinanceQuotes",Table1[Symbol],"PEGRatio")</calculatedColumnFormula>
    </tableColumn>
    <tableColumn id="31" name="EPSEstCurrentYear" dataDxfId="134">
      <calculatedColumnFormula>RTD("gartle.rtd",,"YahooFinanceQuotes",Table1[Symbol],"EPSEstimateCurrentYear")</calculatedColumnFormula>
    </tableColumn>
    <tableColumn id="32" name="EPSEstNextQuarter" dataDxfId="133">
      <calculatedColumnFormula>RTD("gartle.rtd",,"YahooFinanceQuotes",Table1[Symbol],"EPSEstimateNextQuarter")</calculatedColumnFormula>
    </tableColumn>
    <tableColumn id="33" name="EPSEstNextYear" dataDxfId="132">
      <calculatedColumnFormula>RTD("gartle.rtd",,"YahooFinanceQuotes",Table1[Symbol],"EPSEstimateNextYear")</calculatedColumnFormula>
    </tableColumn>
    <tableColumn id="34" name="EarningsShare" dataDxfId="131">
      <calculatedColumnFormula>RTD("gartle.rtd",,"YahooFinanceQuotes",Table1[Symbol],"EarningsShare")</calculatedColumnFormula>
    </tableColumn>
    <tableColumn id="35" name="MarketCap" dataDxfId="130">
      <calculatedColumnFormula>RTD("gartle.rtd",,"YahooFinanceQuotes",Table1[Symbol],"MarketCapitalization")</calculatedColumnFormula>
    </tableColumn>
    <tableColumn id="36" name="DividendYield" dataDxfId="129">
      <calculatedColumnFormula>RTD("gartle.rtd",,"YahooFinanceQuotes",Table1[Symbol],"DividendYield")</calculatedColumnFormula>
    </tableColumn>
    <tableColumn id="37" name="DividendShare" dataDxfId="128">
      <calculatedColumnFormula>RTD("gartle.rtd",,"YahooFinanceQuotes",Table1[Symbol],"DividendShare")</calculatedColumnFormula>
    </tableColumn>
    <tableColumn id="38" name="ExDividendDate" dataDxfId="127">
      <calculatedColumnFormula>RTD("gartle.rtd",,"YahooFinanceQuotes",Table1[Symbol],"ExDividendDate")</calculatedColumnFormula>
    </tableColumn>
    <tableColumn id="39" name="DividendPayDate" dataDxfId="126">
      <calculatedColumnFormula>RTD("gartle.rtd",,"YahooFinanceQuotes",Table1[Symbol],"DividendPayDate")</calculatedColumnFormula>
    </tableColumn>
    <tableColumn id="40" name="BookValue" dataDxfId="125">
      <calculatedColumnFormula>RTD("gartle.rtd",,"YahooFinanceQuotes",Table1[Symbol],"BookValue")</calculatedColumnFormula>
    </tableColumn>
    <tableColumn id="41" name="PriceBook" dataDxfId="124">
      <calculatedColumnFormula>RTD("gartle.rtd",,"YahooFinanceQuotes",Table1[Symbol],"PriceBook")</calculatedColumnFormula>
    </tableColumn>
    <tableColumn id="42" name="PriceSales" dataDxfId="123">
      <calculatedColumnFormula>RTD("gartle.rtd",,"YahooFinanceQuotes",Table1[Symbol],"PriceSales")</calculatedColumnFormula>
    </tableColumn>
    <tableColumn id="43" name="PriceEPSEstCurrentYear" dataDxfId="122">
      <calculatedColumnFormula>RTD("gartle.rtd",,"YahooFinanceQuotes",Table1[Symbol],"PriceEPSEstimateCurrentYear")</calculatedColumnFormula>
    </tableColumn>
    <tableColumn id="44" name="PriceEPSEstNextYear" dataDxfId="121">
      <calculatedColumnFormula>RTD("gartle.rtd",,"YahooFinanceQuotes",Table1[Symbol],"PriceEPSEstimateNextYear")</calculatedColumnFormula>
    </tableColumn>
    <tableColumn id="45" name="EBITDA" dataDxfId="120">
      <calculatedColumnFormula>RTD("gartle.rtd",,"YahooFinanceQuotes",Table1[Symbol],"EBITDA")</calculatedColumnFormula>
    </tableColumn>
    <tableColumn id="46" name="CompanyName" dataDxfId="119">
      <calculatedColumnFormula>RTD("gartle.rtd",,"YahooFinanceQuotes",Table1[Symbol],"Name")</calculatedColumnFormula>
    </tableColumn>
    <tableColumn id="47" name="StockExchange" dataDxfId="118">
      <calculatedColumnFormula>RTD("gartle.rtd",,"YahooFinanceQuotes",Table1[Symbol],"StockExchange")</calculatedColumnFormula>
    </tableColumn>
    <tableColumn id="48" name="Commission" dataDxfId="117">
      <calculatedColumnFormula>RTD("gartle.rtd",,"YahooFinanceQuotes",Table1[Symbol],"Commission")</calculatedColumnFormula>
    </tableColumn>
    <tableColumn id="49" name="Notes" dataDxfId="116">
      <calculatedColumnFormula>RTD("gartle.rtd",,"YahooFinanceQuotes",Table1[Symbol],"Notes")</calculatedColumnFormula>
    </tableColumn>
    <tableColumn id="50" name="rtd_LastError" dataDxfId="115">
      <calculatedColumnFormula>RTD("gartle.rtd",,"YahooFinanceQuotes",Table1[Symbol],"rtd_LastError")</calculatedColumnFormula>
    </tableColumn>
    <tableColumn id="51" name="rtd_LastMessage" dataDxfId="114">
      <calculatedColumnFormula>RTD("gartle.rtd",,"YahooFinanceQuotes",Table1[Symbol],"rtd_LastMessage")</calculatedColumnFormula>
    </tableColumn>
    <tableColumn id="52" name="rtd_LastUpdate" dataDxfId="113">
      <calculatedColumnFormula>RTD("gartle.rtd",,"YahooFinanceQuotes",Table1[Symbol],"rtd_LastUpdate")</calculatedColumnFormula>
    </tableColumn>
    <tableColumn id="53" name="rtd_LastUpdateDate" dataDxfId="112">
      <calculatedColumnFormula>RTD("gartle.rtd",,"YahooFinanceQuotes",Table1[Symbol],"rtd_LastUpdateDate")</calculatedColumnFormula>
    </tableColumn>
    <tableColumn id="54" name="rtd_LastUpdateTime" dataDxfId="111">
      <calculatedColumnFormula>RTD("gartle.rtd",,"YahooFinanceQuotes",Table1[Symbol],"rtd_LastUpdateTime")</calculatedColumnFormula>
    </tableColumn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id="4" name="Table4" displayName="Table4" ref="B3:Z10" totalsRowShown="0">
  <tableColumns count="25">
    <tableColumn id="1" name="Symbol" dataDxfId="110"/>
    <tableColumn id="2" name="Date" dataDxfId="109"/>
    <tableColumn id="25" name="TradeDate" dataDxfId="108">
      <calculatedColumnFormula>RTD("gartle.rtd",,"YahooFinanceHistoricalData",Table4[Symbol],Table4[Date],"Date")</calculatedColumnFormula>
    </tableColumn>
    <tableColumn id="3" name="Open" dataDxfId="107">
      <calculatedColumnFormula>RTD("gartle.rtd",,"YahooFinanceHistoricalData",Table4[Symbol],Table4[Date],"Open")</calculatedColumnFormula>
    </tableColumn>
    <tableColumn id="4" name="High" dataDxfId="106">
      <calculatedColumnFormula>RTD("gartle.rtd",,"YahooFinanceHistoricalData",Table4[Symbol],Table4[Date],"High")</calculatedColumnFormula>
    </tableColumn>
    <tableColumn id="5" name="Low" dataDxfId="105">
      <calculatedColumnFormula>RTD("gartle.rtd",,"YahooFinanceHistoricalData",Table4[Symbol],Table4[Date],"Low")</calculatedColumnFormula>
    </tableColumn>
    <tableColumn id="6" name="Close" dataDxfId="104">
      <calculatedColumnFormula>RTD("gartle.rtd",,"YahooFinanceHistoricalData",Table4[Symbol],Table4[Date],"Close")</calculatedColumnFormula>
    </tableColumn>
    <tableColumn id="7" name="Change" dataDxfId="103">
      <calculatedColumnFormula>RTD("gartle.rtd",,"YahooFinanceHistoricalData",Table4[Symbol],Table4[Date],"Change")</calculatedColumnFormula>
    </tableColumn>
    <tableColumn id="8" name="ChangeInPercent" dataDxfId="102">
      <calculatedColumnFormula>RTD("gartle.rtd",,"YahooFinanceHistoricalData",Table4[Symbol],Table4[Date],"ChangeInPercent")</calculatedColumnFormula>
    </tableColumn>
    <tableColumn id="9" name="AdjClose" dataDxfId="101">
      <calculatedColumnFormula>RTD("gartle.rtd",,"YahooFinanceHistoricalData",Table4[Symbol],Table4[Date],"AdjClose")</calculatedColumnFormula>
    </tableColumn>
    <tableColumn id="10" name="AdjChange" dataDxfId="100">
      <calculatedColumnFormula>RTD("gartle.rtd",,"YahooFinanceHistoricalData",Table4[Symbol],Table4[Date],"AdjChange")</calculatedColumnFormula>
    </tableColumn>
    <tableColumn id="11" name="AdjChangeInPercent" dataDxfId="99">
      <calculatedColumnFormula>RTD("gartle.rtd",,"YahooFinanceHistoricalData",Table4[Symbol],Table4[Date],"AdjChangeInPercent")</calculatedColumnFormula>
    </tableColumn>
    <tableColumn id="12" name="Volume" dataDxfId="98">
      <calculatedColumnFormula>RTD("gartle.rtd",,"YahooFinanceHistoricalData",Table4[Symbol],Table4[Date],"Volume")</calculatedColumnFormula>
    </tableColumn>
    <tableColumn id="13" name="PrevDate" dataDxfId="97">
      <calculatedColumnFormula>RTD("gartle.rtd",,"YahooFinanceHistoricalData",Table4[Symbol],Table4[Date],"PrevDate")</calculatedColumnFormula>
    </tableColumn>
    <tableColumn id="14" name="PrevOpen" dataDxfId="96">
      <calculatedColumnFormula>RTD("gartle.rtd",,"YahooFinanceHistoricalData",Table4[Symbol],Table4[Date],"PrevOpen")</calculatedColumnFormula>
    </tableColumn>
    <tableColumn id="15" name="PrevHigh" dataDxfId="95">
      <calculatedColumnFormula>RTD("gartle.rtd",,"YahooFinanceHistoricalData",Table4[Symbol],Table4[Date],"PrevHigh")</calculatedColumnFormula>
    </tableColumn>
    <tableColumn id="16" name="PrevLow" dataDxfId="94">
      <calculatedColumnFormula>RTD("gartle.rtd",,"YahooFinanceHistoricalData",Table4[Symbol],Table4[Date],"PrevLow")</calculatedColumnFormula>
    </tableColumn>
    <tableColumn id="17" name="PrevClose" dataDxfId="93">
      <calculatedColumnFormula>RTD("gartle.rtd",,"YahooFinanceHistoricalData",Table4[Symbol],Table4[Date],"PrevClose")</calculatedColumnFormula>
    </tableColumn>
    <tableColumn id="18" name="PrevAdjClose" dataDxfId="92">
      <calculatedColumnFormula>RTD("gartle.rtd",,"YahooFinanceHistoricalData",Table4[Symbol],Table4[Date],"PrevAdjClose")</calculatedColumnFormula>
    </tableColumn>
    <tableColumn id="19" name="PrevVolume" dataDxfId="91">
      <calculatedColumnFormula>RTD("gartle.rtd",,"YahooFinanceHistoricalData",Table4[Symbol],Table4[Date],"PrevVolume")</calculatedColumnFormula>
    </tableColumn>
    <tableColumn id="20" name="rtd_LastError" dataDxfId="90">
      <calculatedColumnFormula>RTD("gartle.rtd",,"YahooFinanceHistoricalData",Table4[Symbol],Table4[Date],"rtd_LastError")</calculatedColumnFormula>
    </tableColumn>
    <tableColumn id="21" name="rtd_LastMessage" dataDxfId="89">
      <calculatedColumnFormula>RTD("gartle.rtd",,"YahooFinanceHistoricalData",Table4[Symbol],Table4[Date],"rtd_LastMessage")</calculatedColumnFormula>
    </tableColumn>
    <tableColumn id="22" name="rtd_LastUpdate" dataDxfId="88">
      <calculatedColumnFormula>RTD("gartle.rtd",,"YahooFinanceHistoricalData",Table4[Symbol],Table4[Date],"rtd_LastUpdate")</calculatedColumnFormula>
    </tableColumn>
    <tableColumn id="23" name="rtd_LastUpdateDate" dataDxfId="87">
      <calculatedColumnFormula>RTD("gartle.rtd",,"YahooFinanceHistoricalData",Table4[Symbol],Table4[Date],"rtd_LastUpdateDate")</calculatedColumnFormula>
    </tableColumn>
    <tableColumn id="24" name="rtd_LastUpdateTime" dataDxfId="86">
      <calculatedColumnFormula>RTD("gartle.rtd",,"YahooFinanceHistoricalData",Table4[Symbol],Table4[Date],"rtd_LastUpdateTime")</calculatedColumnFormula>
    </tableColumn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id="3" name="Table3" displayName="Table3" ref="B3:M10" totalsRowShown="0">
  <tableColumns count="12">
    <tableColumn id="1" name="Symbol" dataDxfId="85"/>
    <tableColumn id="2" name="CompanyName" dataDxfId="84">
      <calculatedColumnFormula>RTD("gartle.rtd",,"YahooFinanceStocks",Table3[Symbol],"CompanyName")</calculatedColumnFormula>
    </tableColumn>
    <tableColumn id="3" name="Sector" dataDxfId="83">
      <calculatedColumnFormula>RTD("gartle.rtd",,"YahooFinanceStocks",Table3[Symbol],"Sector")</calculatedColumnFormula>
    </tableColumn>
    <tableColumn id="4" name="Industry" dataDxfId="82">
      <calculatedColumnFormula>RTD("gartle.rtd",,"YahooFinanceStocks",Table3[Symbol],"Industry")</calculatedColumnFormula>
    </tableColumn>
    <tableColumn id="5" name="FullTimeEmployees" dataDxfId="81">
      <calculatedColumnFormula>IFERROR(RTD("gartle.rtd",,"YahooFinanceStocks",Table3[Symbol],"FullTimeEmployees"),0)</calculatedColumnFormula>
    </tableColumn>
    <tableColumn id="6" name="TradeStart" dataDxfId="80">
      <calculatedColumnFormula>IFERROR(RTD("gartle.rtd",,"YahooFinanceStocks",Table3[Symbol],"Start"),"")</calculatedColumnFormula>
    </tableColumn>
    <tableColumn id="7" name="TradeEnd" dataDxfId="79">
      <calculatedColumnFormula>IFERROR(RTD("gartle.rtd",,"YahooFinanceStocks",Table3[Symbol],"End"),"")</calculatedColumnFormula>
    </tableColumn>
    <tableColumn id="8" name="rtd_LastError" dataDxfId="78">
      <calculatedColumnFormula>RTD("gartle.rtd",,"YahooFinanceStocks",Table3[Symbol],"rtd_LastError")</calculatedColumnFormula>
    </tableColumn>
    <tableColumn id="9" name="rtd_LastMessage" dataDxfId="77">
      <calculatedColumnFormula>RTD("gartle.rtd",,"YahooFinanceStocks",Table3[Symbol],"rtd_LastMessage")</calculatedColumnFormula>
    </tableColumn>
    <tableColumn id="10" name="rtd_LastUpdate" dataDxfId="76">
      <calculatedColumnFormula>RTD("gartle.rtd",,"YahooFinanceStocks",Table3[Symbol],"rtd_LastUpdate")</calculatedColumnFormula>
    </tableColumn>
    <tableColumn id="11" name="rtd_LastUpdateDate" dataDxfId="75">
      <calculatedColumnFormula>RTD("gartle.rtd",,"YahooFinanceStocks",Table3[Symbol],"rtd_LastUpdateDate")</calculatedColumnFormula>
    </tableColumn>
    <tableColumn id="12" name="rtd_LastUpdateTime" dataDxfId="74">
      <calculatedColumnFormula>RTD("gartle.rtd",,"YahooFinanceStocks",Table3[Symbol],"rtd_LastUpdateTime")</calculatedColumnFormula>
    </tableColumn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id="5" name="Table5" displayName="Table5" ref="B3:U7" totalsRowShown="0">
  <tableColumns count="20">
    <tableColumn id="1" name="Code" dataDxfId="73"/>
    <tableColumn id="2" name="OptionCode" dataDxfId="72">
      <calculatedColumnFormula>RTD("gartle.rtd",,"YahooFinanceOptions",Table5[Code],"OptionCode")</calculatedColumnFormula>
    </tableColumn>
    <tableColumn id="3" name="Symbol" dataDxfId="71">
      <calculatedColumnFormula>RTD("gartle.rtd",,"YahooFinanceOptions",Table5[Code],"Symbol")</calculatedColumnFormula>
    </tableColumn>
    <tableColumn id="4" name="OptionSymbol" dataDxfId="70">
      <calculatedColumnFormula>RTD("gartle.rtd",,"YahooFinanceOptions",Table5[Code],"OptionSymbol")</calculatedColumnFormula>
    </tableColumn>
    <tableColumn id="5" name="ExpDate" dataDxfId="69">
      <calculatedColumnFormula>RTD("gartle.rtd",,"YahooFinanceOptions",Table5[Code],"Exp")</calculatedColumnFormula>
    </tableColumn>
    <tableColumn id="6" name="Strike" dataDxfId="68">
      <calculatedColumnFormula>RTD("gartle.rtd",,"YahooFinanceOptions",Table5[Code],"Strike")</calculatedColumnFormula>
    </tableColumn>
    <tableColumn id="7" name="Type" dataDxfId="67">
      <calculatedColumnFormula>RTD("gartle.rtd",,"YahooFinanceOptions",Table5[Code],"Type")</calculatedColumnFormula>
    </tableColumn>
    <tableColumn id="8" name="Last" dataDxfId="66">
      <calculatedColumnFormula>RTD("gartle.rtd",,"YahooFinanceOptions",Table5[Code],"Last")</calculatedColumnFormula>
    </tableColumn>
    <tableColumn id="9" name="Change" dataDxfId="65">
      <calculatedColumnFormula>RTD("gartle.rtd",,"YahooFinanceOptions",Table5[Code],"Change")</calculatedColumnFormula>
    </tableColumn>
    <tableColumn id="10" name="PercentChange" dataDxfId="64">
      <calculatedColumnFormula>RTD("gartle.rtd",,"YahooFinanceOptions",Table5[Code],"ChangeInPercent")</calculatedColumnFormula>
    </tableColumn>
    <tableColumn id="11" name="Mark" dataDxfId="63">
      <calculatedColumnFormula>RTD("gartle.rtd",,"YahooFinanceOptions",Table5[Code],"Mark")</calculatedColumnFormula>
    </tableColumn>
    <tableColumn id="12" name="Bid" dataDxfId="62">
      <calculatedColumnFormula>RTD("gartle.rtd",,"YahooFinanceOptions",Table5[Code],"Bid")</calculatedColumnFormula>
    </tableColumn>
    <tableColumn id="13" name="Ask" dataDxfId="61">
      <calculatedColumnFormula>RTD("gartle.rtd",,"YahooFinanceOptions",Table5[Code],"Ask")</calculatedColumnFormula>
    </tableColumn>
    <tableColumn id="14" name="Volume" dataDxfId="60">
      <calculatedColumnFormula>RTD("gartle.rtd",,"YahooFinanceOptions",Table5[Code],"Volume")</calculatedColumnFormula>
    </tableColumn>
    <tableColumn id="15" name="OpenInt" dataDxfId="59">
      <calculatedColumnFormula>RTD("gartle.rtd",,"YahooFinanceOptions",Table5[Code],"OpenInt")</calculatedColumnFormula>
    </tableColumn>
    <tableColumn id="16" name="rtd_LastError" dataDxfId="58">
      <calculatedColumnFormula>RTD("gartle.rtd",,"YahooFinanceOptions",Table5[Code],"rtd_LastError")</calculatedColumnFormula>
    </tableColumn>
    <tableColumn id="17" name="rtd_LastMessage" dataDxfId="57">
      <calculatedColumnFormula>RTD("gartle.rtd",,"YahooFinanceOptions",Table5[Code],"rtd_LastMessage")</calculatedColumnFormula>
    </tableColumn>
    <tableColumn id="18" name="rtd_LastUpdate" dataDxfId="56">
      <calculatedColumnFormula>RTD("gartle.rtd",,"YahooFinanceOptions",Table5[Code],"rtd_LastUpdate")</calculatedColumnFormula>
    </tableColumn>
    <tableColumn id="19" name="rtd_LastUpdateDate" dataDxfId="55">
      <calculatedColumnFormula>RTD("gartle.rtd",,"YahooFinanceOptions",Table5[Code],"rtd_LastUpdateDate")</calculatedColumnFormula>
    </tableColumn>
    <tableColumn id="20" name="rtd_LastUpdateTime" dataDxfId="54">
      <calculatedColumnFormula>RTD("gartle.rtd",,"YahooFinanceOptions",Table5[Code],"rtd_LastUpdateTime")</calculatedColumnFormula>
    </tableColumn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id="6" name="Table6" displayName="Table6" ref="B3:T7" totalsRowShown="0">
  <tableColumns count="19">
    <tableColumn id="1" name="OptionSymbol" dataDxfId="53"/>
    <tableColumn id="2" name="ExpDate" dataDxfId="52"/>
    <tableColumn id="3" name="Strike" dataDxfId="51"/>
    <tableColumn id="4" name="Type" dataDxfId="50"/>
    <tableColumn id="5" name="OptionCode" dataDxfId="49">
      <calculatedColumnFormula>RTD("gartle.rtd",,"YahooFinanceOptions",Table6[OptionSymbol],Table6[ExpDate],Table6[Strike],Table6[Type],"OptionCode")</calculatedColumnFormula>
    </tableColumn>
    <tableColumn id="6" name="Symbol" dataDxfId="48">
      <calculatedColumnFormula>RTD("gartle.rtd",,"YahooFinanceOptions",Table6[OptionSymbol],Table6[ExpDate],Table6[Strike],Table6[Type],"Symbol")</calculatedColumnFormula>
    </tableColumn>
    <tableColumn id="7" name="Last" dataDxfId="47">
      <calculatedColumnFormula>RTD("gartle.rtd",,"YahooFinanceOptions",Table6[OptionSymbol],Table6[ExpDate],Table6[Strike],Table6[Type],"Last")</calculatedColumnFormula>
    </tableColumn>
    <tableColumn id="8" name="Change" dataDxfId="46">
      <calculatedColumnFormula>RTD("gartle.rtd",,"YahooFinanceOptions",Table6[OptionSymbol],Table6[ExpDate],Table6[Strike],Table6[Type],"Change")</calculatedColumnFormula>
    </tableColumn>
    <tableColumn id="9" name="PercentChange" dataDxfId="45">
      <calculatedColumnFormula>RTD("gartle.rtd",,"YahooFinanceOptions",Table6[OptionSymbol],Table6[ExpDate],Table6[Strike],Table6[Type],"ChangeInPercent")</calculatedColumnFormula>
    </tableColumn>
    <tableColumn id="10" name="Mark" dataDxfId="44">
      <calculatedColumnFormula>RTD("gartle.rtd",,"YahooFinanceOptions",Table6[OptionSymbol],Table6[ExpDate],Table6[Strike],Table6[Type],"Mark")</calculatedColumnFormula>
    </tableColumn>
    <tableColumn id="11" name="Bid" dataDxfId="43">
      <calculatedColumnFormula>RTD("gartle.rtd",,"YahooFinanceOptions",Table6[OptionSymbol],Table6[ExpDate],Table6[Strike],Table6[Type],"Bid")</calculatedColumnFormula>
    </tableColumn>
    <tableColumn id="12" name="Ask" dataDxfId="42">
      <calculatedColumnFormula>RTD("gartle.rtd",,"YahooFinanceOptions",Table6[OptionSymbol],Table6[ExpDate],Table6[Strike],Table6[Type],"Ask")</calculatedColumnFormula>
    </tableColumn>
    <tableColumn id="13" name="Volume" dataDxfId="41">
      <calculatedColumnFormula>RTD("gartle.rtd",,"YahooFinanceOptions",Table6[OptionSymbol],Table6[ExpDate],Table6[Strike],Table6[Type],"Volume")</calculatedColumnFormula>
    </tableColumn>
    <tableColumn id="14" name="OpenInt" dataDxfId="40">
      <calculatedColumnFormula>RTD("gartle.rtd",,"YahooFinanceOptions",Table6[OptionSymbol],Table6[ExpDate],Table6[Strike],Table6[Type],"OpenInt")</calculatedColumnFormula>
    </tableColumn>
    <tableColumn id="15" name="rtd_LastError" dataDxfId="39">
      <calculatedColumnFormula>RTD("gartle.rtd",,"YahooFinanceOptions",Table6[OptionSymbol],Table6[ExpDate],Table6[Strike],Table6[Type],"rtd_LastError")</calculatedColumnFormula>
    </tableColumn>
    <tableColumn id="16" name="rtd_LastMessage" dataDxfId="38">
      <calculatedColumnFormula>RTD("gartle.rtd",,"YahooFinanceOptions",Table6[OptionSymbol],Table6[ExpDate],Table6[Strike],Table6[Type],"rtd_LastMessage")</calculatedColumnFormula>
    </tableColumn>
    <tableColumn id="17" name="rtd_LastUpdate" dataDxfId="37">
      <calculatedColumnFormula>RTD("gartle.rtd",,"YahooFinanceOptions",Table6[OptionSymbol],Table6[ExpDate],Table6[Strike],Table6[Type],"rtd_LastUpdate")</calculatedColumnFormula>
    </tableColumn>
    <tableColumn id="18" name="rtd_LastUpdateDate" dataDxfId="36">
      <calculatedColumnFormula>RTD("gartle.rtd",,"YahooFinanceOptions",Table6[OptionSymbol],Table6[ExpDate],Table6[Strike],Table6[Type],"rtd_LastUpdateDate")</calculatedColumnFormula>
    </tableColumn>
    <tableColumn id="19" name="rtd_LastUpdateTime" dataDxfId="35">
      <calculatedColumnFormula>RTD("gartle.rtd",,"YahooFinanceOptions",Table6[OptionSymbol],Table6[ExpDate],Table6[Strike],Table6[Type],"rtd_LastUpdateTime")</calculatedColumnFormula>
    </tableColumn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id="7" name="Table7" displayName="Table7" ref="B3:G7" totalsRowShown="0">
  <tableColumns count="6">
    <tableColumn id="1" name="Symbol" dataDxfId="34"/>
    <tableColumn id="2" name="Strike" dataDxfId="33"/>
    <tableColumn id="3" name="Type" dataDxfId="32"/>
    <tableColumn id="4" name="Jan17,15" dataDxfId="31">
      <calculatedColumnFormula>RTD("gartle.rtd",,"YahooFinanceOptions",$B4,E$3,$C4,$D4,"Mark")</calculatedColumnFormula>
    </tableColumn>
    <tableColumn id="5" name="Jan15'16" dataDxfId="30">
      <calculatedColumnFormula>RTD("gartle.rtd",,"YahooFinanceOptions",$B4,F$3,$C4,$D4,"Mark")</calculatedColumnFormula>
    </tableColumn>
    <tableColumn id="6" name="Calendar" dataDxfId="29">
      <calculatedColumnFormula>Table7[[#This Row],[Jan15''16]]-Table7[[#This Row],[Jan17,15]]</calculatedColumnFormula>
    </tableColumn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avetodb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2:B21"/>
  <sheetViews>
    <sheetView showGridLines="0" workbookViewId="0">
      <selection activeCell="B2" sqref="B2"/>
    </sheetView>
  </sheetViews>
  <sheetFormatPr defaultRowHeight="15" x14ac:dyDescent="0.25"/>
  <cols>
    <col min="1" max="1" width="2.5703125" style="13" customWidth="1"/>
    <col min="2" max="2" width="92" style="13" bestFit="1" customWidth="1"/>
    <col min="3" max="16384" width="9.140625" style="13"/>
  </cols>
  <sheetData>
    <row r="2" spans="2:2" ht="17.25" x14ac:dyDescent="0.3">
      <c r="B2" s="12" t="s">
        <v>97</v>
      </c>
    </row>
    <row r="4" spans="2:2" x14ac:dyDescent="0.25">
      <c r="B4" s="13" t="s">
        <v>98</v>
      </c>
    </row>
    <row r="6" spans="2:2" x14ac:dyDescent="0.25">
      <c r="B6" s="13" t="s">
        <v>99</v>
      </c>
    </row>
    <row r="8" spans="2:2" x14ac:dyDescent="0.25">
      <c r="B8" s="13" t="s">
        <v>100</v>
      </c>
    </row>
    <row r="10" spans="2:2" x14ac:dyDescent="0.25">
      <c r="B10" s="13" t="s">
        <v>101</v>
      </c>
    </row>
    <row r="12" spans="2:2" x14ac:dyDescent="0.25">
      <c r="B12" s="13" t="s">
        <v>102</v>
      </c>
    </row>
    <row r="15" spans="2:2" x14ac:dyDescent="0.25">
      <c r="B15" s="13" t="s">
        <v>103</v>
      </c>
    </row>
    <row r="17" spans="2:2" x14ac:dyDescent="0.25">
      <c r="B17" s="13" t="s">
        <v>104</v>
      </c>
    </row>
    <row r="19" spans="2:2" x14ac:dyDescent="0.25">
      <c r="B19" s="14" t="s">
        <v>96</v>
      </c>
    </row>
    <row r="20" spans="2:2" x14ac:dyDescent="0.25">
      <c r="B20" s="15"/>
    </row>
    <row r="21" spans="2:2" x14ac:dyDescent="0.25">
      <c r="B21" s="16" t="s">
        <v>105</v>
      </c>
    </row>
  </sheetData>
  <hyperlinks>
    <hyperlink ref="B19" r:id="rId1" display="www.SaveToDB.com"/>
  </hyperlinks>
  <pageMargins left="0.7" right="0.7" top="0.75" bottom="0.75" header="0.3" footer="0.3"/>
  <pageSetup scale="98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3:R10"/>
  <sheetViews>
    <sheetView showGridLines="0" tabSelected="1" workbookViewId="0">
      <pane ySplit="3" topLeftCell="A4" activePane="bottomLeft" state="frozen"/>
      <selection activeCell="C36" sqref="C36"/>
      <selection pane="bottomLeft" activeCell="C4" sqref="C4"/>
    </sheetView>
  </sheetViews>
  <sheetFormatPr defaultRowHeight="15" x14ac:dyDescent="0.25"/>
  <cols>
    <col min="1" max="1" width="2.5703125" customWidth="1"/>
    <col min="2" max="2" width="7.5703125" bestFit="1" customWidth="1"/>
    <col min="3" max="3" width="18.28515625" bestFit="1" customWidth="1"/>
    <col min="4" max="4" width="13.7109375" bestFit="1" customWidth="1"/>
    <col min="5" max="5" width="14" bestFit="1" customWidth="1"/>
    <col min="6" max="6" width="2.7109375" customWidth="1"/>
    <col min="7" max="8" width="7.5703125" bestFit="1" customWidth="1"/>
    <col min="9" max="9" width="14.5703125" bestFit="1" customWidth="1"/>
    <col min="10" max="12" width="7.5703125" bestFit="1" customWidth="1"/>
    <col min="13" max="13" width="11.140625" bestFit="1" customWidth="1"/>
    <col min="14" max="14" width="12.28515625" bestFit="1" customWidth="1"/>
    <col min="15" max="15" width="16" bestFit="1" customWidth="1"/>
    <col min="16" max="16" width="16.140625" bestFit="1" customWidth="1"/>
    <col min="17" max="17" width="19" bestFit="1" customWidth="1"/>
    <col min="18" max="18" width="19.28515625" bestFit="1" customWidth="1"/>
  </cols>
  <sheetData>
    <row r="3" spans="2:18" x14ac:dyDescent="0.25">
      <c r="B3" t="s">
        <v>0</v>
      </c>
      <c r="C3" s="17" t="s">
        <v>55</v>
      </c>
      <c r="D3" s="17" t="s">
        <v>1</v>
      </c>
      <c r="E3" s="17" t="s">
        <v>2</v>
      </c>
      <c r="F3" t="s">
        <v>95</v>
      </c>
      <c r="G3" s="17" t="s">
        <v>3</v>
      </c>
      <c r="H3" s="17" t="s">
        <v>4</v>
      </c>
      <c r="I3" s="17" t="s">
        <v>5</v>
      </c>
      <c r="J3" s="17" t="s">
        <v>6</v>
      </c>
      <c r="K3" s="17" t="s">
        <v>7</v>
      </c>
      <c r="L3" s="17" t="s">
        <v>8</v>
      </c>
      <c r="M3" s="17" t="s">
        <v>9</v>
      </c>
      <c r="N3" s="17" t="s">
        <v>49</v>
      </c>
      <c r="O3" t="s">
        <v>50</v>
      </c>
      <c r="P3" s="17" t="s">
        <v>51</v>
      </c>
      <c r="Q3" s="17" t="s">
        <v>52</v>
      </c>
      <c r="R3" s="17" t="s">
        <v>53</v>
      </c>
    </row>
    <row r="4" spans="2:18" x14ac:dyDescent="0.25">
      <c r="B4" s="10" t="s">
        <v>54</v>
      </c>
      <c r="C4" s="9">
        <f>RTD("gartle.rtd",,"YahooFinanceWatchList",Table2[Symbol],"LastTradeDateTime")</f>
        <v>41943.65</v>
      </c>
      <c r="D4" s="2">
        <f>RTD("gartle.rtd",,"YahooFinanceWatchList",Table2[Symbol],"LastTradeDate")</f>
        <v>41943</v>
      </c>
      <c r="E4" s="3">
        <f>RTD("gartle.rtd",,"YahooFinanceWatchList",Table2[Symbol],"LastTradeTime")</f>
        <v>0.65</v>
      </c>
      <c r="F4" s="1">
        <f>RTD("gartle.rtd",,"YahooFinanceWatchList",Table2[Symbol],"Last:tick")</f>
        <v>0</v>
      </c>
      <c r="G4" s="4">
        <f>RTD("gartle.rtd",,"YahooFinanceWatchList",Table2[Symbol],"Last")</f>
        <v>107.85</v>
      </c>
      <c r="H4" s="6">
        <f>RTD("gartle.rtd",,"YahooFinanceWatchList",Table2[Symbol],"Change")</f>
        <v>0.87</v>
      </c>
      <c r="I4" s="7">
        <f>RTD("gartle.rtd",,"YahooFinanceWatchList",Table2[Symbol],"ChangeInPercent")</f>
        <v>8.1323611890072919E-3</v>
      </c>
      <c r="J4" s="4">
        <f>RTD("gartle.rtd",,"YahooFinanceWatchList",Table2[Symbol],"Open")</f>
        <v>108.04</v>
      </c>
      <c r="K4" s="4">
        <f>RTD("gartle.rtd",,"YahooFinanceWatchList",Table2[Symbol],"High")</f>
        <v>108.04</v>
      </c>
      <c r="L4" s="4">
        <f>RTD("gartle.rtd",,"YahooFinanceWatchList",Table2[Symbol],"Low")</f>
        <v>107.21</v>
      </c>
      <c r="M4" s="8">
        <f>RTD("gartle.rtd",,"YahooFinanceWatchList",Table2[Symbol],"Volume")</f>
        <v>33239282</v>
      </c>
      <c r="N4">
        <f>RTD("gartle.rtd",,"YahooFinanceWatchList",Table2[Symbol],"rtd_LastError")</f>
        <v>0</v>
      </c>
      <c r="O4" t="str">
        <f>RTD("gartle.rtd",,"YahooFinanceWatchList",Table2[Symbol],"rtd_LastMessage")</f>
        <v/>
      </c>
      <c r="P4" s="9">
        <f>RTD("gartle.rtd",,"YahooFinanceWatchList",Table2[Symbol],"rtd_LastUpdate")</f>
        <v>41943.660727361108</v>
      </c>
      <c r="Q4" s="2">
        <f>RTD("gartle.rtd",,"YahooFinanceWatchList",Table2[Symbol],"rtd_LastUpdateDate")</f>
        <v>41943</v>
      </c>
      <c r="R4" s="3">
        <f>RTD("gartle.rtd",,"YahooFinanceWatchList",Table2[Symbol],"rtd_LastUpdateTime")</f>
        <v>0.66072736111111108</v>
      </c>
    </row>
    <row r="5" spans="2:18" x14ac:dyDescent="0.25">
      <c r="B5" s="10" t="s">
        <v>86</v>
      </c>
      <c r="C5" s="9">
        <f>RTD("gartle.rtd",,"YahooFinanceWatchList",Table2[Symbol],"LastTradeDateTime")</f>
        <v>41943.650694444441</v>
      </c>
      <c r="D5" s="2">
        <f>RTD("gartle.rtd",,"YahooFinanceWatchList",Table2[Symbol],"LastTradeDate")</f>
        <v>41943</v>
      </c>
      <c r="E5" s="3">
        <f>RTD("gartle.rtd",,"YahooFinanceWatchList",Table2[Symbol],"LastTradeTime")</f>
        <v>0.65069444444444446</v>
      </c>
      <c r="F5" s="1">
        <f>RTD("gartle.rtd",,"YahooFinanceWatchList",Table2[Symbol],"Last:tick")</f>
        <v>1</v>
      </c>
      <c r="G5" s="4">
        <f>RTD("gartle.rtd",,"YahooFinanceWatchList",Table2[Symbol],"Last")</f>
        <v>74.98</v>
      </c>
      <c r="H5" s="6">
        <f>RTD("gartle.rtd",,"YahooFinanceWatchList",Table2[Symbol],"Change")</f>
        <v>0.87</v>
      </c>
      <c r="I5" s="7">
        <f>RTD("gartle.rtd",,"YahooFinanceWatchList",Table2[Symbol],"ChangeInPercent")</f>
        <v>1.1739306436378357E-2</v>
      </c>
      <c r="J5" s="4">
        <f>RTD("gartle.rtd",,"YahooFinanceWatchList",Table2[Symbol],"Open")</f>
        <v>74.98</v>
      </c>
      <c r="K5" s="4">
        <f>RTD("gartle.rtd",,"YahooFinanceWatchList",Table2[Symbol],"High")</f>
        <v>75.7</v>
      </c>
      <c r="L5" s="4">
        <f>RTD("gartle.rtd",,"YahooFinanceWatchList",Table2[Symbol],"Low")</f>
        <v>74.45</v>
      </c>
      <c r="M5" s="8">
        <f>RTD("gartle.rtd",,"YahooFinanceWatchList",Table2[Symbol],"Volume")</f>
        <v>38359096</v>
      </c>
      <c r="N5">
        <f>RTD("gartle.rtd",,"YahooFinanceWatchList",Table2[Symbol],"rtd_LastError")</f>
        <v>0</v>
      </c>
      <c r="O5" t="str">
        <f>RTD("gartle.rtd",,"YahooFinanceWatchList",Table2[Symbol],"rtd_LastMessage")</f>
        <v/>
      </c>
      <c r="P5" s="9">
        <f>RTD("gartle.rtd",,"YahooFinanceWatchList",Table2[Symbol],"rtd_LastUpdate")</f>
        <v>41943.661352812502</v>
      </c>
      <c r="Q5" s="2">
        <f>RTD("gartle.rtd",,"YahooFinanceWatchList",Table2[Symbol],"rtd_LastUpdateDate")</f>
        <v>41943</v>
      </c>
      <c r="R5" s="3">
        <f>RTD("gartle.rtd",,"YahooFinanceWatchList",Table2[Symbol],"rtd_LastUpdateTime")</f>
        <v>0.6613528125</v>
      </c>
    </row>
    <row r="6" spans="2:18" x14ac:dyDescent="0.25">
      <c r="B6" s="10" t="s">
        <v>83</v>
      </c>
      <c r="C6" s="9">
        <f>RTD("gartle.rtd",,"YahooFinanceWatchList",Table2[Symbol],"LastTradeDateTime")</f>
        <v>41943.65</v>
      </c>
      <c r="D6" s="2">
        <f>RTD("gartle.rtd",,"YahooFinanceWatchList",Table2[Symbol],"LastTradeDate")</f>
        <v>41943</v>
      </c>
      <c r="E6" s="3">
        <f>RTD("gartle.rtd",,"YahooFinanceWatchList",Table2[Symbol],"LastTradeTime")</f>
        <v>0.65</v>
      </c>
      <c r="F6" s="1">
        <f>RTD("gartle.rtd",,"YahooFinanceWatchList",Table2[Symbol],"Last:tick")</f>
        <v>1</v>
      </c>
      <c r="G6" s="4">
        <f>RTD("gartle.rtd",,"YahooFinanceWatchList",Table2[Symbol],"Last")</f>
        <v>558.23</v>
      </c>
      <c r="H6" s="6">
        <f>RTD("gartle.rtd",,"YahooFinanceWatchList",Table2[Symbol],"Change")</f>
        <v>7.92</v>
      </c>
      <c r="I6" s="7">
        <f>RTD("gartle.rtd",,"YahooFinanceWatchList",Table2[Symbol],"ChangeInPercent")</f>
        <v>1.4391888208464319E-2</v>
      </c>
      <c r="J6" s="4">
        <f>RTD("gartle.rtd",,"YahooFinanceWatchList",Table2[Symbol],"Open")</f>
        <v>559.57000000000005</v>
      </c>
      <c r="K6" s="4">
        <f>RTD("gartle.rtd",,"YahooFinanceWatchList",Table2[Symbol],"High")</f>
        <v>559.57000000000005</v>
      </c>
      <c r="L6" s="4">
        <f>RTD("gartle.rtd",,"YahooFinanceWatchList",Table2[Symbol],"Low")</f>
        <v>554.75</v>
      </c>
      <c r="M6" s="8">
        <f>RTD("gartle.rtd",,"YahooFinanceWatchList",Table2[Symbol],"Volume")</f>
        <v>1481686</v>
      </c>
      <c r="N6">
        <f>RTD("gartle.rtd",,"YahooFinanceWatchList",Table2[Symbol],"rtd_LastError")</f>
        <v>0</v>
      </c>
      <c r="O6" t="str">
        <f>RTD("gartle.rtd",,"YahooFinanceWatchList",Table2[Symbol],"rtd_LastMessage")</f>
        <v/>
      </c>
      <c r="P6" s="9">
        <f>RTD("gartle.rtd",,"YahooFinanceWatchList",Table2[Symbol],"rtd_LastUpdate")</f>
        <v>41943.660741805557</v>
      </c>
      <c r="Q6" s="2">
        <f>RTD("gartle.rtd",,"YahooFinanceWatchList",Table2[Symbol],"rtd_LastUpdateDate")</f>
        <v>41943</v>
      </c>
      <c r="R6" s="3">
        <f>RTD("gartle.rtd",,"YahooFinanceWatchList",Table2[Symbol],"rtd_LastUpdateTime")</f>
        <v>0.66074180555555551</v>
      </c>
    </row>
    <row r="7" spans="2:18" x14ac:dyDescent="0.25">
      <c r="B7" s="10" t="s">
        <v>87</v>
      </c>
      <c r="C7" s="9">
        <f>RTD("gartle.rtd",,"YahooFinanceWatchList",Table2[Symbol],"LastTradeDateTime")</f>
        <v>41943.65</v>
      </c>
      <c r="D7" s="2">
        <f>RTD("gartle.rtd",,"YahooFinanceWatchList",Table2[Symbol],"LastTradeDate")</f>
        <v>41943</v>
      </c>
      <c r="E7" s="3">
        <f>RTD("gartle.rtd",,"YahooFinanceWatchList",Table2[Symbol],"LastTradeTime")</f>
        <v>0.65</v>
      </c>
      <c r="F7" s="1">
        <f>RTD("gartle.rtd",,"YahooFinanceWatchList",Table2[Symbol],"Last:tick")</f>
        <v>-1</v>
      </c>
      <c r="G7" s="4">
        <f>RTD("gartle.rtd",,"YahooFinanceWatchList",Table2[Symbol],"Last")</f>
        <v>229.32</v>
      </c>
      <c r="H7" s="6">
        <f>RTD("gartle.rtd",,"YahooFinanceWatchList",Table2[Symbol],"Change")</f>
        <v>26.42</v>
      </c>
      <c r="I7" s="7">
        <f>RTD("gartle.rtd",,"YahooFinanceWatchList",Table2[Symbol],"ChangeInPercent")</f>
        <v>0.13021192705766391</v>
      </c>
      <c r="J7" s="4">
        <f>RTD("gartle.rtd",,"YahooFinanceWatchList",Table2[Symbol],"Open")</f>
        <v>224.24</v>
      </c>
      <c r="K7" s="4">
        <f>RTD("gartle.rtd",,"YahooFinanceWatchList",Table2[Symbol],"High")</f>
        <v>232.23</v>
      </c>
      <c r="L7" s="4">
        <f>RTD("gartle.rtd",,"YahooFinanceWatchList",Table2[Symbol],"Low")</f>
        <v>222.73</v>
      </c>
      <c r="M7" s="8">
        <f>RTD("gartle.rtd",,"YahooFinanceWatchList",Table2[Symbol],"Volume")</f>
        <v>6257649</v>
      </c>
      <c r="N7">
        <f>RTD("gartle.rtd",,"YahooFinanceWatchList",Table2[Symbol],"rtd_LastError")</f>
        <v>0</v>
      </c>
      <c r="O7" t="str">
        <f>RTD("gartle.rtd",,"YahooFinanceWatchList",Table2[Symbol],"rtd_LastMessage")</f>
        <v/>
      </c>
      <c r="P7" s="9">
        <f>RTD("gartle.rtd",,"YahooFinanceWatchList",Table2[Symbol],"rtd_LastUpdate")</f>
        <v>41943.660685659721</v>
      </c>
      <c r="Q7" s="2">
        <f>RTD("gartle.rtd",,"YahooFinanceWatchList",Table2[Symbol],"rtd_LastUpdateDate")</f>
        <v>41943</v>
      </c>
      <c r="R7" s="3">
        <f>RTD("gartle.rtd",,"YahooFinanceWatchList",Table2[Symbol],"rtd_LastUpdateTime")</f>
        <v>0.66068565972222226</v>
      </c>
    </row>
    <row r="8" spans="2:18" x14ac:dyDescent="0.25">
      <c r="B8" s="10" t="s">
        <v>84</v>
      </c>
      <c r="C8" s="9">
        <f>RTD("gartle.rtd",,"YahooFinanceWatchList",Table2[Symbol],"LastTradeDateTime")</f>
        <v>41943.650694444441</v>
      </c>
      <c r="D8" s="2">
        <f>RTD("gartle.rtd",,"YahooFinanceWatchList",Table2[Symbol],"LastTradeDate")</f>
        <v>41943</v>
      </c>
      <c r="E8" s="3">
        <f>RTD("gartle.rtd",,"YahooFinanceWatchList",Table2[Symbol],"LastTradeTime")</f>
        <v>0.65069444444444446</v>
      </c>
      <c r="F8" s="1">
        <f>RTD("gartle.rtd",,"YahooFinanceWatchList",Table2[Symbol],"Last:tick")</f>
        <v>1</v>
      </c>
      <c r="G8" s="4">
        <f>RTD("gartle.rtd",,"YahooFinanceWatchList",Table2[Symbol],"Last")</f>
        <v>46.81</v>
      </c>
      <c r="H8" s="6">
        <f>RTD("gartle.rtd",,"YahooFinanceWatchList",Table2[Symbol],"Change")</f>
        <v>0.76</v>
      </c>
      <c r="I8" s="7">
        <f>RTD("gartle.rtd",,"YahooFinanceWatchList",Table2[Symbol],"ChangeInPercent")</f>
        <v>1.6503800217155265E-2</v>
      </c>
      <c r="J8" s="4">
        <f>RTD("gartle.rtd",,"YahooFinanceWatchList",Table2[Symbol],"Open")</f>
        <v>46.95</v>
      </c>
      <c r="K8" s="4">
        <f>RTD("gartle.rtd",,"YahooFinanceWatchList",Table2[Symbol],"High")</f>
        <v>46.97</v>
      </c>
      <c r="L8" s="4">
        <f>RTD("gartle.rtd",,"YahooFinanceWatchList",Table2[Symbol],"Low")</f>
        <v>46.48</v>
      </c>
      <c r="M8" s="8">
        <f>RTD("gartle.rtd",,"YahooFinanceWatchList",Table2[Symbol],"Volume")</f>
        <v>23046924</v>
      </c>
      <c r="N8">
        <f>RTD("gartle.rtd",,"YahooFinanceWatchList",Table2[Symbol],"rtd_LastError")</f>
        <v>0</v>
      </c>
      <c r="O8" t="str">
        <f>RTD("gartle.rtd",,"YahooFinanceWatchList",Table2[Symbol],"rtd_LastMessage")</f>
        <v/>
      </c>
      <c r="P8" s="9">
        <f>RTD("gartle.rtd",,"YahooFinanceWatchList",Table2[Symbol],"rtd_LastUpdate")</f>
        <v>41943.661366168984</v>
      </c>
      <c r="Q8" s="2">
        <f>RTD("gartle.rtd",,"YahooFinanceWatchList",Table2[Symbol],"rtd_LastUpdateDate")</f>
        <v>41943</v>
      </c>
      <c r="R8" s="3">
        <f>RTD("gartle.rtd",,"YahooFinanceWatchList",Table2[Symbol],"rtd_LastUpdateTime")</f>
        <v>0.66136616898148148</v>
      </c>
    </row>
    <row r="9" spans="2:18" x14ac:dyDescent="0.25">
      <c r="B9" s="10" t="s">
        <v>85</v>
      </c>
      <c r="C9" s="9">
        <f>RTD("gartle.rtd",,"YahooFinanceWatchList",Table2[Symbol],"LastTradeDateTime")</f>
        <v>41943.650694444441</v>
      </c>
      <c r="D9" s="2">
        <f>RTD("gartle.rtd",,"YahooFinanceWatchList",Table2[Symbol],"LastTradeDate")</f>
        <v>41943</v>
      </c>
      <c r="E9" s="3">
        <f>RTD("gartle.rtd",,"YahooFinanceWatchList",Table2[Symbol],"LastTradeTime")</f>
        <v>0.65069444444444446</v>
      </c>
      <c r="F9" s="1">
        <f>RTD("gartle.rtd",,"YahooFinanceWatchList",Table2[Symbol],"Last:tick")</f>
        <v>1</v>
      </c>
      <c r="G9" s="4">
        <f>RTD("gartle.rtd",,"YahooFinanceWatchList",Table2[Symbol],"Last")</f>
        <v>38.948999999999998</v>
      </c>
      <c r="H9" s="6">
        <f>RTD("gartle.rtd",,"YahooFinanceWatchList",Table2[Symbol],"Change")</f>
        <v>0.44900000000000001</v>
      </c>
      <c r="I9" s="7">
        <f>RTD("gartle.rtd",,"YahooFinanceWatchList",Table2[Symbol],"ChangeInPercent")</f>
        <v>1.1662337662337662E-2</v>
      </c>
      <c r="J9" s="4">
        <f>RTD("gartle.rtd",,"YahooFinanceWatchList",Table2[Symbol],"Open")</f>
        <v>38.880000000000003</v>
      </c>
      <c r="K9" s="4">
        <f>RTD("gartle.rtd",,"YahooFinanceWatchList",Table2[Symbol],"High")</f>
        <v>39.020000000000003</v>
      </c>
      <c r="L9" s="4">
        <f>RTD("gartle.rtd",,"YahooFinanceWatchList",Table2[Symbol],"Low")</f>
        <v>38.825000000000003</v>
      </c>
      <c r="M9" s="8">
        <f>RTD("gartle.rtd",,"YahooFinanceWatchList",Table2[Symbol],"Volume")</f>
        <v>9445605</v>
      </c>
      <c r="N9">
        <f>RTD("gartle.rtd",,"YahooFinanceWatchList",Table2[Symbol],"rtd_LastError")</f>
        <v>0</v>
      </c>
      <c r="O9" t="str">
        <f>RTD("gartle.rtd",,"YahooFinanceWatchList",Table2[Symbol],"rtd_LastMessage")</f>
        <v/>
      </c>
      <c r="P9" s="9">
        <f>RTD("gartle.rtd",,"YahooFinanceWatchList",Table2[Symbol],"rtd_LastUpdate")</f>
        <v>41943.661334571756</v>
      </c>
      <c r="Q9" s="2">
        <f>RTD("gartle.rtd",,"YahooFinanceWatchList",Table2[Symbol],"rtd_LastUpdateDate")</f>
        <v>41943</v>
      </c>
      <c r="R9" s="3">
        <f>RTD("gartle.rtd",,"YahooFinanceWatchList",Table2[Symbol],"rtd_LastUpdateTime")</f>
        <v>0.66133457175925925</v>
      </c>
    </row>
    <row r="10" spans="2:18" x14ac:dyDescent="0.25">
      <c r="B10" s="10" t="s">
        <v>88</v>
      </c>
      <c r="C10" s="9">
        <f>RTD("gartle.rtd",,"YahooFinanceWatchList",Table2[Symbol],"LastTradeDateTime")</f>
        <v>41943.65</v>
      </c>
      <c r="D10" s="2">
        <f>RTD("gartle.rtd",,"YahooFinanceWatchList",Table2[Symbol],"LastTradeDate")</f>
        <v>41943</v>
      </c>
      <c r="E10" s="3">
        <f>RTD("gartle.rtd",,"YahooFinanceWatchList",Table2[Symbol],"LastTradeTime")</f>
        <v>0.65</v>
      </c>
      <c r="F10" s="1">
        <f>RTD("gartle.rtd",,"YahooFinanceWatchList",Table2[Symbol],"Last:tick")</f>
        <v>-1</v>
      </c>
      <c r="G10" s="4">
        <f>RTD("gartle.rtd",,"YahooFinanceWatchList",Table2[Symbol],"Last")</f>
        <v>46.02</v>
      </c>
      <c r="H10" s="6">
        <f>RTD("gartle.rtd",,"YahooFinanceWatchList",Table2[Symbol],"Change")</f>
        <v>0.39</v>
      </c>
      <c r="I10" s="7">
        <f>RTD("gartle.rtd",,"YahooFinanceWatchList",Table2[Symbol],"ChangeInPercent")</f>
        <v>8.5470085470085461E-3</v>
      </c>
      <c r="J10" s="4">
        <f>RTD("gartle.rtd",,"YahooFinanceWatchList",Table2[Symbol],"Open")</f>
        <v>46.2</v>
      </c>
      <c r="K10" s="4">
        <f>RTD("gartle.rtd",,"YahooFinanceWatchList",Table2[Symbol],"High")</f>
        <v>46.52</v>
      </c>
      <c r="L10" s="4">
        <f>RTD("gartle.rtd",,"YahooFinanceWatchList",Table2[Symbol],"Low")</f>
        <v>45.67</v>
      </c>
      <c r="M10" s="8">
        <f>RTD("gartle.rtd",,"YahooFinanceWatchList",Table2[Symbol],"Volume")</f>
        <v>14429852</v>
      </c>
      <c r="N10">
        <f>RTD("gartle.rtd",,"YahooFinanceWatchList",Table2[Symbol],"rtd_LastError")</f>
        <v>0</v>
      </c>
      <c r="O10" t="str">
        <f>RTD("gartle.rtd",,"YahooFinanceWatchList",Table2[Symbol],"rtd_LastMessage")</f>
        <v/>
      </c>
      <c r="P10" s="9">
        <f>RTD("gartle.rtd",,"YahooFinanceWatchList",Table2[Symbol],"rtd_LastUpdate")</f>
        <v>41943.660714548612</v>
      </c>
      <c r="Q10" s="2">
        <f>RTD("gartle.rtd",,"YahooFinanceWatchList",Table2[Symbol],"rtd_LastUpdateDate")</f>
        <v>41943</v>
      </c>
      <c r="R10" s="3">
        <f>RTD("gartle.rtd",,"YahooFinanceWatchList",Table2[Symbol],"rtd_LastUpdateTime")</f>
        <v>0.66071454861111112</v>
      </c>
    </row>
  </sheetData>
  <conditionalFormatting sqref="G4:G10">
    <cfRule type="expression" dxfId="7" priority="5">
      <formula>$F4&lt;0</formula>
    </cfRule>
    <cfRule type="expression" dxfId="6" priority="6">
      <formula>$F4&gt;0</formula>
    </cfRule>
  </conditionalFormatting>
  <conditionalFormatting sqref="B4:B10">
    <cfRule type="expression" dxfId="5" priority="3">
      <formula>$H4&lt;0</formula>
    </cfRule>
    <cfRule type="expression" dxfId="4" priority="4">
      <formula>$H4&gt;0</formula>
    </cfRule>
  </conditionalFormatting>
  <conditionalFormatting sqref="F4:F10">
    <cfRule type="iconSet" priority="48">
      <iconSet iconSet="3Arrows" showValue="0">
        <cfvo type="percent" val="0"/>
        <cfvo type="num" val="0"/>
        <cfvo type="num" val="1"/>
      </iconSet>
    </cfRule>
  </conditionalFormatting>
  <conditionalFormatting sqref="M4:M10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:I10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2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3:BD10"/>
  <sheetViews>
    <sheetView showGridLines="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5" x14ac:dyDescent="0.25"/>
  <cols>
    <col min="1" max="1" width="2.5703125" customWidth="1"/>
    <col min="2" max="2" width="7.5703125" bestFit="1" customWidth="1"/>
    <col min="3" max="3" width="13.7109375" bestFit="1" customWidth="1"/>
    <col min="4" max="4" width="14" bestFit="1" customWidth="1"/>
    <col min="5" max="5" width="2.85546875" customWidth="1"/>
    <col min="6" max="6" width="7.5703125" bestFit="1" customWidth="1"/>
    <col min="7" max="7" width="14.140625" bestFit="1" customWidth="1"/>
    <col min="8" max="8" width="14.5703125" bestFit="1" customWidth="1"/>
    <col min="9" max="11" width="7.5703125" bestFit="1" customWidth="1"/>
    <col min="12" max="12" width="11.140625" bestFit="1" customWidth="1"/>
    <col min="13" max="13" width="18" customWidth="1"/>
    <col min="14" max="14" width="9.85546875" bestFit="1" customWidth="1"/>
    <col min="15" max="15" width="10.28515625" bestFit="1" customWidth="1"/>
    <col min="16" max="16" width="9" bestFit="1" customWidth="1"/>
    <col min="17" max="17" width="8.5703125" bestFit="1" customWidth="1"/>
    <col min="18" max="18" width="14.85546875" bestFit="1" customWidth="1"/>
    <col min="19" max="19" width="20.42578125" bestFit="1" customWidth="1"/>
    <col min="20" max="20" width="20" bestFit="1" customWidth="1"/>
    <col min="21" max="21" width="27.5703125" bestFit="1" customWidth="1"/>
    <col min="22" max="22" width="27.140625" bestFit="1" customWidth="1"/>
    <col min="23" max="24" width="7.5703125" bestFit="1" customWidth="1"/>
    <col min="25" max="25" width="17.5703125" bestFit="1" customWidth="1"/>
    <col min="26" max="26" width="18.5703125" bestFit="1" customWidth="1"/>
    <col min="27" max="27" width="24.5703125" bestFit="1" customWidth="1"/>
    <col min="28" max="28" width="25.7109375" bestFit="1" customWidth="1"/>
    <col min="29" max="29" width="20" bestFit="1" customWidth="1"/>
    <col min="30" max="30" width="19" bestFit="1" customWidth="1"/>
    <col min="31" max="31" width="6.5703125" bestFit="1" customWidth="1"/>
    <col min="32" max="32" width="4.5703125" bestFit="1" customWidth="1"/>
    <col min="33" max="33" width="17.7109375" bestFit="1" customWidth="1"/>
    <col min="34" max="34" width="18.140625" bestFit="1" customWidth="1"/>
    <col min="35" max="35" width="15.140625" bestFit="1" customWidth="1"/>
    <col min="36" max="36" width="13.5703125" bestFit="1" customWidth="1"/>
    <col min="37" max="37" width="10.7109375" bestFit="1" customWidth="1"/>
    <col min="38" max="38" width="13.7109375" bestFit="1" customWidth="1"/>
    <col min="39" max="39" width="14.140625" bestFit="1" customWidth="1"/>
    <col min="40" max="40" width="15.28515625" bestFit="1" customWidth="1"/>
    <col min="41" max="41" width="16.42578125" bestFit="1" customWidth="1"/>
    <col min="42" max="42" width="10.5703125" bestFit="1" customWidth="1"/>
    <col min="43" max="43" width="9.85546875" bestFit="1" customWidth="1"/>
    <col min="44" max="44" width="10" bestFit="1" customWidth="1"/>
    <col min="45" max="45" width="22.28515625" bestFit="1" customWidth="1"/>
    <col min="46" max="46" width="19.7109375" bestFit="1" customWidth="1"/>
    <col min="47" max="47" width="7.7109375" bestFit="1" customWidth="1"/>
    <col min="48" max="48" width="17" bestFit="1" customWidth="1"/>
    <col min="49" max="49" width="14.140625" bestFit="1" customWidth="1"/>
    <col min="50" max="50" width="11.85546875" bestFit="1" customWidth="1"/>
    <col min="51" max="51" width="6.28515625" bestFit="1" customWidth="1"/>
    <col min="52" max="52" width="12.28515625" bestFit="1" customWidth="1"/>
    <col min="53" max="53" width="16" bestFit="1" customWidth="1"/>
    <col min="54" max="54" width="16.140625" bestFit="1" customWidth="1"/>
    <col min="55" max="55" width="19" bestFit="1" customWidth="1"/>
    <col min="56" max="56" width="19.28515625" bestFit="1" customWidth="1"/>
  </cols>
  <sheetData>
    <row r="3" spans="2:56" x14ac:dyDescent="0.25">
      <c r="B3" t="s">
        <v>0</v>
      </c>
      <c r="C3" t="s">
        <v>1</v>
      </c>
      <c r="D3" t="s">
        <v>2</v>
      </c>
      <c r="E3" t="s">
        <v>95</v>
      </c>
      <c r="F3" s="17" t="s">
        <v>3</v>
      </c>
      <c r="G3" s="17" t="s">
        <v>4</v>
      </c>
      <c r="H3" s="17" t="s">
        <v>5</v>
      </c>
      <c r="I3" s="17" t="s">
        <v>6</v>
      </c>
      <c r="J3" s="17" t="s">
        <v>7</v>
      </c>
      <c r="K3" s="17" t="s">
        <v>8</v>
      </c>
      <c r="L3" s="17" t="s">
        <v>9</v>
      </c>
      <c r="M3" t="s">
        <v>10</v>
      </c>
      <c r="N3" s="17" t="s">
        <v>11</v>
      </c>
      <c r="O3" s="17" t="s">
        <v>12</v>
      </c>
      <c r="P3" s="17" t="s">
        <v>13</v>
      </c>
      <c r="Q3" s="17" t="s">
        <v>14</v>
      </c>
      <c r="R3" t="s">
        <v>15</v>
      </c>
      <c r="S3" s="17" t="s">
        <v>16</v>
      </c>
      <c r="T3" s="17" t="s">
        <v>17</v>
      </c>
      <c r="U3" s="17" t="s">
        <v>18</v>
      </c>
      <c r="V3" s="17" t="s">
        <v>19</v>
      </c>
      <c r="W3" s="17" t="s">
        <v>20</v>
      </c>
      <c r="X3" s="17" t="s">
        <v>21</v>
      </c>
      <c r="Y3" s="17" t="s">
        <v>22</v>
      </c>
      <c r="Z3" s="17" t="s">
        <v>23</v>
      </c>
      <c r="AA3" s="17" t="s">
        <v>24</v>
      </c>
      <c r="AB3" s="17" t="s">
        <v>25</v>
      </c>
      <c r="AC3" s="17" t="s">
        <v>26</v>
      </c>
      <c r="AD3" s="17" t="s">
        <v>27</v>
      </c>
      <c r="AE3" s="17" t="s">
        <v>28</v>
      </c>
      <c r="AF3" s="17" t="s">
        <v>29</v>
      </c>
      <c r="AG3" s="17" t="s">
        <v>30</v>
      </c>
      <c r="AH3" s="17" t="s">
        <v>31</v>
      </c>
      <c r="AI3" s="17" t="s">
        <v>32</v>
      </c>
      <c r="AJ3" s="17" t="s">
        <v>33</v>
      </c>
      <c r="AK3" t="s">
        <v>34</v>
      </c>
      <c r="AL3" s="17" t="s">
        <v>35</v>
      </c>
      <c r="AM3" s="17" t="s">
        <v>36</v>
      </c>
      <c r="AN3" t="s">
        <v>37</v>
      </c>
      <c r="AO3" t="s">
        <v>38</v>
      </c>
      <c r="AP3" s="17" t="s">
        <v>39</v>
      </c>
      <c r="AQ3" s="17" t="s">
        <v>40</v>
      </c>
      <c r="AR3" s="17" t="s">
        <v>41</v>
      </c>
      <c r="AS3" s="17" t="s">
        <v>42</v>
      </c>
      <c r="AT3" s="17" t="s">
        <v>43</v>
      </c>
      <c r="AU3" t="s">
        <v>44</v>
      </c>
      <c r="AV3" t="s">
        <v>45</v>
      </c>
      <c r="AW3" t="s">
        <v>46</v>
      </c>
      <c r="AX3" t="s">
        <v>47</v>
      </c>
      <c r="AY3" t="s">
        <v>48</v>
      </c>
      <c r="AZ3" s="17" t="s">
        <v>49</v>
      </c>
      <c r="BA3" t="s">
        <v>50</v>
      </c>
      <c r="BB3" s="17" t="s">
        <v>51</v>
      </c>
      <c r="BC3" s="17" t="s">
        <v>52</v>
      </c>
      <c r="BD3" s="17" t="s">
        <v>53</v>
      </c>
    </row>
    <row r="4" spans="2:56" x14ac:dyDescent="0.25">
      <c r="B4" s="10" t="s">
        <v>54</v>
      </c>
      <c r="C4" s="2">
        <f>RTD("gartle.rtd",,"YahooFinanceQuotes",Table1[Symbol],"LastTradeDate")</f>
        <v>41943</v>
      </c>
      <c r="D4" s="3">
        <f>RTD("gartle.rtd",,"YahooFinanceQuotes",Table1[Symbol],"LastTradeTime")</f>
        <v>0.65</v>
      </c>
      <c r="E4" s="1">
        <f>RTD("gartle.rtd",,"YahooFinanceQuotes",Table1[Symbol],"Last:tick")</f>
        <v>-1</v>
      </c>
      <c r="F4" s="4">
        <f>RTD("gartle.rtd",,"YahooFinanceQuotes",Table1[Symbol],"Last")</f>
        <v>107.84010000000001</v>
      </c>
      <c r="G4" s="20">
        <f>RTD("gartle.rtd",,"YahooFinanceQuotes",Table1[Symbol],"Change")</f>
        <v>0.86009999999999998</v>
      </c>
      <c r="H4" s="7">
        <f>RTD("gartle.rtd",,"YahooFinanceQuotes",Table1[Symbol],"ChangeInPercent")</f>
        <v>8.0000000000000002E-3</v>
      </c>
      <c r="I4" s="4">
        <f>RTD("gartle.rtd",,"YahooFinanceQuotes",Table1[Symbol],"Open")</f>
        <v>108.04</v>
      </c>
      <c r="J4" s="4">
        <f>RTD("gartle.rtd",,"YahooFinanceQuotes",Table1[Symbol],"High")</f>
        <v>108.04</v>
      </c>
      <c r="K4" s="4">
        <f>RTD("gartle.rtd",,"YahooFinanceQuotes",Table1[Symbol],"Low")</f>
        <v>107.21</v>
      </c>
      <c r="L4" s="8">
        <f>RTD("gartle.rtd",,"YahooFinanceQuotes",Table1[Symbol],"Volume")</f>
        <v>33267228</v>
      </c>
      <c r="M4" t="str">
        <f>RTD("gartle.rtd",,"YahooFinanceQuotes",Table1[Symbol],"DaysRange")</f>
        <v>107.21 - 108.04</v>
      </c>
      <c r="N4" s="4">
        <f>RTD("gartle.rtd",,"YahooFinanceQuotes",Table1[Symbol],"PreviousClose")</f>
        <v>106.98</v>
      </c>
      <c r="O4">
        <f>RTD("gartle.rtd",,"YahooFinanceQuotes",Table1[Symbol],"ShortRatio")</f>
        <v>1.7</v>
      </c>
      <c r="P4" s="4">
        <f>RTD("gartle.rtd",,"YahooFinanceQuotes",Table1[Symbol],"YearHigh")</f>
        <v>107.37</v>
      </c>
      <c r="Q4" s="4">
        <f>RTD("gartle.rtd",,"YahooFinanceQuotes",Table1[Symbol],"YearLow")</f>
        <v>70.507099999999994</v>
      </c>
      <c r="R4" t="str">
        <f>RTD("gartle.rtd",,"YahooFinanceQuotes",Table1[Symbol],"YearRange")</f>
        <v>70.5071 - 107.37</v>
      </c>
      <c r="S4" s="6">
        <f>RTD("gartle.rtd",,"YahooFinanceQuotes",Table1[Symbol],"ChangeFromYearHigh")</f>
        <v>0.47010000000000002</v>
      </c>
      <c r="T4" s="6">
        <f>RTD("gartle.rtd",,"YahooFinanceQuotes",Table1[Symbol],"ChangeFromYearLow")</f>
        <v>37.332999999999998</v>
      </c>
      <c r="U4" s="7">
        <f>RTD("gartle.rtd",,"YahooFinanceQuotes",Table1[Symbol],"PercentChangeFromYearHigh")</f>
        <v>4.4000000000000003E-3</v>
      </c>
      <c r="V4" s="7">
        <f>RTD("gartle.rtd",,"YahooFinanceQuotes",Table1[Symbol],"PercentChangeFromYearLow")</f>
        <v>0.52950000000000008</v>
      </c>
      <c r="W4" s="4">
        <f>RTD("gartle.rtd",,"YahooFinanceQuotes",Table1[Symbol],"FiftydayMovingAverage")</f>
        <v>101.268</v>
      </c>
      <c r="X4" s="4">
        <f>RTD("gartle.rtd",,"YahooFinanceQuotes",Table1[Symbol],"TwoHundredDayMovingAverage")</f>
        <v>94.241399999999999</v>
      </c>
      <c r="Y4" s="6">
        <f>RTD("gartle.rtd",,"YahooFinanceQuotes",Table1[Symbol],"ChangeFromFiftyDayMovingAverage")</f>
        <v>6.5720999999999998</v>
      </c>
      <c r="Z4" s="6">
        <f>RTD("gartle.rtd",,"YahooFinanceQuotes",Table1[Symbol],"ChangeFromTwoHundredDayMovingAverage")</f>
        <v>13.598699999999999</v>
      </c>
      <c r="AA4" s="7">
        <f>RTD("gartle.rtd",,"YahooFinanceQuotes",Table1[Symbol],"PercentChangeFromFiftyDayMovingAverage")</f>
        <v>6.4899999999999999E-2</v>
      </c>
      <c r="AB4" s="7">
        <f>RTD("gartle.rtd",,"YahooFinanceQuotes",Table1[Symbol],"PercentChangeFromTwoHundredDayMovingAverage")</f>
        <v>0.14429999999999998</v>
      </c>
      <c r="AC4" s="8">
        <f>RTD("gartle.rtd",,"YahooFinanceQuotes",Table1[Symbol],"AverageDailyVolume")</f>
        <v>58618300</v>
      </c>
      <c r="AD4" s="4">
        <f>RTD("gartle.rtd",,"YahooFinanceQuotes",Table1[Symbol],"OneYrTargetPrice")</f>
        <v>115.53</v>
      </c>
      <c r="AE4" s="4">
        <f>RTD("gartle.rtd",,"YahooFinanceQuotes",Table1[Symbol],"PERatio")</f>
        <v>16.59</v>
      </c>
      <c r="AF4" s="4">
        <f>RTD("gartle.rtd",,"YahooFinanceQuotes",Table1[Symbol],"PEGRatio")</f>
        <v>1.23</v>
      </c>
      <c r="AG4" s="4">
        <f>RTD("gartle.rtd",,"YahooFinanceQuotes",Table1[Symbol],"EPSEstimateCurrentYear")</f>
        <v>7.65</v>
      </c>
      <c r="AH4" s="4">
        <f>RTD("gartle.rtd",,"YahooFinanceQuotes",Table1[Symbol],"EPSEstimateNextQuarter")</f>
        <v>1.97</v>
      </c>
      <c r="AI4" s="4">
        <f>RTD("gartle.rtd",,"YahooFinanceQuotes",Table1[Symbol],"EPSEstimateNextYear")</f>
        <v>8.4600000000000009</v>
      </c>
      <c r="AJ4" s="4">
        <f>RTD("gartle.rtd",,"YahooFinanceQuotes",Table1[Symbol],"EarningsShare")</f>
        <v>6.45</v>
      </c>
      <c r="AK4" t="str">
        <f>RTD("gartle.rtd",,"YahooFinanceQuotes",Table1[Symbol],"MarketCapitalization")</f>
        <v>632.5B</v>
      </c>
      <c r="AL4">
        <f>RTD("gartle.rtd",,"YahooFinanceQuotes",Table1[Symbol],"DividendYield")</f>
        <v>1.69</v>
      </c>
      <c r="AM4">
        <f>RTD("gartle.rtd",,"YahooFinanceQuotes",Table1[Symbol],"DividendShare")</f>
        <v>1.8113999999999999</v>
      </c>
      <c r="AN4" t="str">
        <f>RTD("gartle.rtd",,"YahooFinanceQuotes",Table1[Symbol],"ExDividendDate")</f>
        <v>Aug  7</v>
      </c>
      <c r="AO4" t="str">
        <f>RTD("gartle.rtd",,"YahooFinanceQuotes",Table1[Symbol],"DividendPayDate")</f>
        <v>Nov 13</v>
      </c>
      <c r="AP4" s="4">
        <f>RTD("gartle.rtd",,"YahooFinanceQuotes",Table1[Symbol],"BookValue")</f>
        <v>19.015000000000001</v>
      </c>
      <c r="AQ4" s="4">
        <f>RTD("gartle.rtd",,"YahooFinanceQuotes",Table1[Symbol],"PriceBook")</f>
        <v>5.63</v>
      </c>
      <c r="AR4" s="4">
        <f>RTD("gartle.rtd",,"YahooFinanceQuotes",Table1[Symbol],"PriceSales")</f>
        <v>3.43</v>
      </c>
      <c r="AS4" s="4">
        <f>RTD("gartle.rtd",,"YahooFinanceQuotes",Table1[Symbol],"PriceEPSEstimateCurrentYear")</f>
        <v>13.98</v>
      </c>
      <c r="AT4" s="4">
        <f>RTD("gartle.rtd",,"YahooFinanceQuotes",Table1[Symbol],"PriceEPSEstimateNextYear")</f>
        <v>12.65</v>
      </c>
      <c r="AU4" t="str">
        <f>RTD("gartle.rtd",,"YahooFinanceQuotes",Table1[Symbol],"EBITDA")</f>
        <v>60.449B</v>
      </c>
      <c r="AV4" t="str">
        <f>RTD("gartle.rtd",,"YahooFinanceQuotes",Table1[Symbol],"Name")</f>
        <v>Apple Inc.</v>
      </c>
      <c r="AW4" t="str">
        <f>RTD("gartle.rtd",,"YahooFinanceQuotes",Table1[Symbol],"StockExchange")</f>
        <v>NasdaqNM</v>
      </c>
      <c r="AX4" t="str">
        <f>RTD("gartle.rtd",,"YahooFinanceQuotes",Table1[Symbol],"Commission")</f>
        <v/>
      </c>
      <c r="AY4" t="str">
        <f>RTD("gartle.rtd",,"YahooFinanceQuotes",Table1[Symbol],"Notes")</f>
        <v/>
      </c>
      <c r="AZ4">
        <f>RTD("gartle.rtd",,"YahooFinanceQuotes",Table1[Symbol],"rtd_LastError")</f>
        <v>0</v>
      </c>
      <c r="BA4" t="str">
        <f>RTD("gartle.rtd",,"YahooFinanceQuotes",Table1[Symbol],"rtd_LastMessage")</f>
        <v/>
      </c>
      <c r="BB4" s="9">
        <f>RTD("gartle.rtd",,"YahooFinanceQuotes",Table1[Symbol],"rtd_LastUpdate")</f>
        <v>41943.660889317129</v>
      </c>
      <c r="BC4" s="2">
        <f>RTD("gartle.rtd",,"YahooFinanceQuotes",Table1[Symbol],"rtd_LastUpdateDate")</f>
        <v>41943</v>
      </c>
      <c r="BD4" s="3">
        <f>RTD("gartle.rtd",,"YahooFinanceQuotes",Table1[Symbol],"rtd_LastUpdateTime")</f>
        <v>0.66088931712962962</v>
      </c>
    </row>
    <row r="5" spans="2:56" x14ac:dyDescent="0.25">
      <c r="B5" s="10" t="s">
        <v>86</v>
      </c>
      <c r="C5" s="2">
        <f>RTD("gartle.rtd",,"YahooFinanceQuotes",Table1[Symbol],"LastTradeDate")</f>
        <v>41943</v>
      </c>
      <c r="D5" s="3">
        <f>RTD("gartle.rtd",,"YahooFinanceQuotes",Table1[Symbol],"LastTradeTime")</f>
        <v>0.65</v>
      </c>
      <c r="E5" s="1">
        <f>RTD("gartle.rtd",,"YahooFinanceQuotes",Table1[Symbol],"Last:tick")</f>
        <v>1</v>
      </c>
      <c r="F5" s="4">
        <f>RTD("gartle.rtd",,"YahooFinanceQuotes",Table1[Symbol],"Last")</f>
        <v>74.989999999999995</v>
      </c>
      <c r="G5" s="20">
        <f>RTD("gartle.rtd",,"YahooFinanceQuotes",Table1[Symbol],"Change")</f>
        <v>0.88</v>
      </c>
      <c r="H5" s="7">
        <f>RTD("gartle.rtd",,"YahooFinanceQuotes",Table1[Symbol],"ChangeInPercent")</f>
        <v>1.1899999999999999E-2</v>
      </c>
      <c r="I5" s="4">
        <f>RTD("gartle.rtd",,"YahooFinanceQuotes",Table1[Symbol],"Open")</f>
        <v>74.98</v>
      </c>
      <c r="J5" s="4">
        <f>RTD("gartle.rtd",,"YahooFinanceQuotes",Table1[Symbol],"High")</f>
        <v>75.7</v>
      </c>
      <c r="K5" s="4">
        <f>RTD("gartle.rtd",,"YahooFinanceQuotes",Table1[Symbol],"Low")</f>
        <v>74.45</v>
      </c>
      <c r="L5" s="8">
        <f>RTD("gartle.rtd",,"YahooFinanceQuotes",Table1[Symbol],"Volume")</f>
        <v>38345016</v>
      </c>
      <c r="M5" t="str">
        <f>RTD("gartle.rtd",,"YahooFinanceQuotes",Table1[Symbol],"DaysRange")</f>
        <v>74.45 - 75.70</v>
      </c>
      <c r="N5" s="4">
        <f>RTD("gartle.rtd",,"YahooFinanceQuotes",Table1[Symbol],"PreviousClose")</f>
        <v>74.11</v>
      </c>
      <c r="O5">
        <f>RTD("gartle.rtd",,"YahooFinanceQuotes",Table1[Symbol],"ShortRatio")</f>
        <v>1</v>
      </c>
      <c r="P5" s="4">
        <f>RTD("gartle.rtd",,"YahooFinanceQuotes",Table1[Symbol],"YearHigh")</f>
        <v>81.16</v>
      </c>
      <c r="Q5" s="4">
        <f>RTD("gartle.rtd",,"YahooFinanceQuotes",Table1[Symbol],"YearLow")</f>
        <v>43.55</v>
      </c>
      <c r="R5" t="str">
        <f>RTD("gartle.rtd",,"YahooFinanceQuotes",Table1[Symbol],"YearRange")</f>
        <v>43.55 - 81.16</v>
      </c>
      <c r="S5" s="6">
        <f>RTD("gartle.rtd",,"YahooFinanceQuotes",Table1[Symbol],"ChangeFromYearHigh")</f>
        <v>-6.17</v>
      </c>
      <c r="T5" s="6">
        <f>RTD("gartle.rtd",,"YahooFinanceQuotes",Table1[Symbol],"ChangeFromYearLow")</f>
        <v>31.44</v>
      </c>
      <c r="U5" s="7">
        <f>RTD("gartle.rtd",,"YahooFinanceQuotes",Table1[Symbol],"PercentChangeFromYearHigh")</f>
        <v>-7.5999999999999998E-2</v>
      </c>
      <c r="V5" s="7">
        <f>RTD("gartle.rtd",,"YahooFinanceQuotes",Table1[Symbol],"PercentChangeFromYearLow")</f>
        <v>0.72189999999999999</v>
      </c>
      <c r="W5" s="4">
        <f>RTD("gartle.rtd",,"YahooFinanceQuotes",Table1[Symbol],"FiftydayMovingAverage")</f>
        <v>76.956900000000005</v>
      </c>
      <c r="X5" s="4">
        <f>RTD("gartle.rtd",,"YahooFinanceQuotes",Table1[Symbol],"TwoHundredDayMovingAverage")</f>
        <v>69.419399999999996</v>
      </c>
      <c r="Y5" s="6">
        <f>RTD("gartle.rtd",,"YahooFinanceQuotes",Table1[Symbol],"ChangeFromFiftyDayMovingAverage")</f>
        <v>-1.9669000000000001</v>
      </c>
      <c r="Z5" s="6">
        <f>RTD("gartle.rtd",,"YahooFinanceQuotes",Table1[Symbol],"ChangeFromTwoHundredDayMovingAverage")</f>
        <v>5.5705999999999998</v>
      </c>
      <c r="AA5" s="7">
        <f>RTD("gartle.rtd",,"YahooFinanceQuotes",Table1[Symbol],"PercentChangeFromFiftyDayMovingAverage")</f>
        <v>-2.5600000000000001E-2</v>
      </c>
      <c r="AB5" s="7">
        <f>RTD("gartle.rtd",,"YahooFinanceQuotes",Table1[Symbol],"PercentChangeFromTwoHundredDayMovingAverage")</f>
        <v>8.0199999999999994E-2</v>
      </c>
      <c r="AC5" s="8">
        <f>RTD("gartle.rtd",,"YahooFinanceQuotes",Table1[Symbol],"AverageDailyVolume")</f>
        <v>36797100</v>
      </c>
      <c r="AD5" s="4">
        <f>RTD("gartle.rtd",,"YahooFinanceQuotes",Table1[Symbol],"OneYrTargetPrice")</f>
        <v>87.85</v>
      </c>
      <c r="AE5" s="4">
        <f>RTD("gartle.rtd",,"YahooFinanceQuotes",Table1[Symbol],"PERatio")</f>
        <v>68.56</v>
      </c>
      <c r="AF5" s="4">
        <f>RTD("gartle.rtd",,"YahooFinanceQuotes",Table1[Symbol],"PEGRatio")</f>
        <v>1.1200000000000001</v>
      </c>
      <c r="AG5" s="4">
        <f>RTD("gartle.rtd",,"YahooFinanceQuotes",Table1[Symbol],"EPSEstimateCurrentYear")</f>
        <v>1.68</v>
      </c>
      <c r="AH5" s="4">
        <f>RTD("gartle.rtd",,"YahooFinanceQuotes",Table1[Symbol],"EPSEstimateNextQuarter")</f>
        <v>0.48</v>
      </c>
      <c r="AI5" s="4">
        <f>RTD("gartle.rtd",,"YahooFinanceQuotes",Table1[Symbol],"EPSEstimateNextYear")</f>
        <v>1.92</v>
      </c>
      <c r="AJ5" s="4">
        <f>RTD("gartle.rtd",,"YahooFinanceQuotes",Table1[Symbol],"EarningsShare")</f>
        <v>1.081</v>
      </c>
      <c r="AK5" t="str">
        <f>RTD("gartle.rtd",,"YahooFinanceQuotes",Table1[Symbol],"MarketCapitalization")</f>
        <v>194.0B</v>
      </c>
      <c r="AL5" t="e">
        <f>RTD("gartle.rtd",,"YahooFinanceQuotes",Table1[Symbol],"DividendYield")</f>
        <v>#N/A</v>
      </c>
      <c r="AM5">
        <f>RTD("gartle.rtd",,"YahooFinanceQuotes",Table1[Symbol],"DividendShare")</f>
        <v>0</v>
      </c>
      <c r="AN5" t="str">
        <f>RTD("gartle.rtd",,"YahooFinanceQuotes",Table1[Symbol],"ExDividendDate")</f>
        <v/>
      </c>
      <c r="AO5" t="str">
        <f>RTD("gartle.rtd",,"YahooFinanceQuotes",Table1[Symbol],"DividendPayDate")</f>
        <v/>
      </c>
      <c r="AP5" s="4">
        <f>RTD("gartle.rtd",,"YahooFinanceQuotes",Table1[Symbol],"BookValue")</f>
        <v>8.2100000000000009</v>
      </c>
      <c r="AQ5" s="4">
        <f>RTD("gartle.rtd",,"YahooFinanceQuotes",Table1[Symbol],"PriceBook")</f>
        <v>9.0299999999999994</v>
      </c>
      <c r="AR5" s="4">
        <f>RTD("gartle.rtd",,"YahooFinanceQuotes",Table1[Symbol],"PriceSales")</f>
        <v>17.12</v>
      </c>
      <c r="AS5" s="4">
        <f>RTD("gartle.rtd",,"YahooFinanceQuotes",Table1[Symbol],"PriceEPSEstimateCurrentYear")</f>
        <v>44.11</v>
      </c>
      <c r="AT5" s="4">
        <f>RTD("gartle.rtd",,"YahooFinanceQuotes",Table1[Symbol],"PriceEPSEstimateNextYear")</f>
        <v>38.6</v>
      </c>
      <c r="AU5" t="str">
        <f>RTD("gartle.rtd",,"YahooFinanceQuotes",Table1[Symbol],"EBITDA")</f>
        <v>6.194B</v>
      </c>
      <c r="AV5" t="str">
        <f>RTD("gartle.rtd",,"YahooFinanceQuotes",Table1[Symbol],"Name")</f>
        <v>Facebook, Inc.</v>
      </c>
      <c r="AW5" t="str">
        <f>RTD("gartle.rtd",,"YahooFinanceQuotes",Table1[Symbol],"StockExchange")</f>
        <v>NasdaqNM</v>
      </c>
      <c r="AX5" t="str">
        <f>RTD("gartle.rtd",,"YahooFinanceQuotes",Table1[Symbol],"Commission")</f>
        <v/>
      </c>
      <c r="AY5" t="str">
        <f>RTD("gartle.rtd",,"YahooFinanceQuotes",Table1[Symbol],"Notes")</f>
        <v/>
      </c>
      <c r="AZ5">
        <f>RTD("gartle.rtd",,"YahooFinanceQuotes",Table1[Symbol],"rtd_LastError")</f>
        <v>0</v>
      </c>
      <c r="BA5" t="str">
        <f>RTD("gartle.rtd",,"YahooFinanceQuotes",Table1[Symbol],"rtd_LastMessage")</f>
        <v/>
      </c>
      <c r="BB5" s="9">
        <f>RTD("gartle.rtd",,"YahooFinanceQuotes",Table1[Symbol],"rtd_LastUpdate")</f>
        <v>41943.660903587966</v>
      </c>
      <c r="BC5" s="2">
        <f>RTD("gartle.rtd",,"YahooFinanceQuotes",Table1[Symbol],"rtd_LastUpdateDate")</f>
        <v>41943</v>
      </c>
      <c r="BD5" s="3">
        <f>RTD("gartle.rtd",,"YahooFinanceQuotes",Table1[Symbol],"rtd_LastUpdateTime")</f>
        <v>0.660903587962963</v>
      </c>
    </row>
    <row r="6" spans="2:56" x14ac:dyDescent="0.25">
      <c r="B6" s="10" t="s">
        <v>83</v>
      </c>
      <c r="C6" s="2">
        <f>RTD("gartle.rtd",,"YahooFinanceQuotes",Table1[Symbol],"LastTradeDate")</f>
        <v>41943</v>
      </c>
      <c r="D6" s="3">
        <f>RTD("gartle.rtd",,"YahooFinanceQuotes",Table1[Symbol],"LastTradeTime")</f>
        <v>0.65</v>
      </c>
      <c r="E6" s="1">
        <f>RTD("gartle.rtd",,"YahooFinanceQuotes",Table1[Symbol],"Last:tick")</f>
        <v>1</v>
      </c>
      <c r="F6" s="4">
        <f>RTD("gartle.rtd",,"YahooFinanceQuotes",Table1[Symbol],"Last")</f>
        <v>558.23199999999997</v>
      </c>
      <c r="G6" s="20">
        <f>RTD("gartle.rtd",,"YahooFinanceQuotes",Table1[Symbol],"Change")</f>
        <v>7.9219999999999997</v>
      </c>
      <c r="H6" s="7">
        <f>RTD("gartle.rtd",,"YahooFinanceQuotes",Table1[Symbol],"ChangeInPercent")</f>
        <v>1.44E-2</v>
      </c>
      <c r="I6" s="4">
        <f>RTD("gartle.rtd",,"YahooFinanceQuotes",Table1[Symbol],"Open")</f>
        <v>559.57000000000005</v>
      </c>
      <c r="J6" s="4">
        <f>RTD("gartle.rtd",,"YahooFinanceQuotes",Table1[Symbol],"High")</f>
        <v>559.57000000000005</v>
      </c>
      <c r="K6" s="4">
        <f>RTD("gartle.rtd",,"YahooFinanceQuotes",Table1[Symbol],"Low")</f>
        <v>554.75</v>
      </c>
      <c r="L6" s="8">
        <f>RTD("gartle.rtd",,"YahooFinanceQuotes",Table1[Symbol],"Volume")</f>
        <v>1482001</v>
      </c>
      <c r="M6" t="str">
        <f>RTD("gartle.rtd",,"YahooFinanceQuotes",Table1[Symbol],"DaysRange")</f>
        <v>554.75 - 559.57</v>
      </c>
      <c r="N6" s="4">
        <f>RTD("gartle.rtd",,"YahooFinanceQuotes",Table1[Symbol],"PreviousClose")</f>
        <v>550.30999999999995</v>
      </c>
      <c r="O6">
        <f>RTD("gartle.rtd",,"YahooFinanceQuotes",Table1[Symbol],"ShortRatio")</f>
        <v>1.1000000000000001</v>
      </c>
      <c r="P6" s="4">
        <f>RTD("gartle.rtd",,"YahooFinanceQuotes",Table1[Symbol],"YearHigh")</f>
        <v>604.83000000000004</v>
      </c>
      <c r="Q6" s="4">
        <f>RTD("gartle.rtd",,"YahooFinanceQuotes",Table1[Symbol],"YearLow")</f>
        <v>502.8</v>
      </c>
      <c r="R6" t="str">
        <f>RTD("gartle.rtd",,"YahooFinanceQuotes",Table1[Symbol],"YearRange")</f>
        <v>502.80 - 604.83</v>
      </c>
      <c r="S6" s="6">
        <f>RTD("gartle.rtd",,"YahooFinanceQuotes",Table1[Symbol],"ChangeFromYearHigh")</f>
        <v>-46.597999999999999</v>
      </c>
      <c r="T6" s="6">
        <f>RTD("gartle.rtd",,"YahooFinanceQuotes",Table1[Symbol],"ChangeFromYearLow")</f>
        <v>55.432000000000002</v>
      </c>
      <c r="U6" s="7">
        <f>RTD("gartle.rtd",,"YahooFinanceQuotes",Table1[Symbol],"PercentChangeFromYearHigh")</f>
        <v>-7.6999999999999999E-2</v>
      </c>
      <c r="V6" s="7">
        <f>RTD("gartle.rtd",,"YahooFinanceQuotes",Table1[Symbol],"PercentChangeFromYearLow")</f>
        <v>0.11019999999999999</v>
      </c>
      <c r="W6" s="4">
        <f>RTD("gartle.rtd",,"YahooFinanceQuotes",Table1[Symbol],"FiftydayMovingAverage")</f>
        <v>560.14200000000005</v>
      </c>
      <c r="X6" s="4">
        <f>RTD("gartle.rtd",,"YahooFinanceQuotes",Table1[Symbol],"TwoHundredDayMovingAverage")</f>
        <v>560.30899999999997</v>
      </c>
      <c r="Y6" s="6">
        <f>RTD("gartle.rtd",,"YahooFinanceQuotes",Table1[Symbol],"ChangeFromFiftyDayMovingAverage")</f>
        <v>-1.91</v>
      </c>
      <c r="Z6" s="6">
        <f>RTD("gartle.rtd",,"YahooFinanceQuotes",Table1[Symbol],"ChangeFromTwoHundredDayMovingAverage")</f>
        <v>-2.077</v>
      </c>
      <c r="AA6" s="7">
        <f>RTD("gartle.rtd",,"YahooFinanceQuotes",Table1[Symbol],"PercentChangeFromFiftyDayMovingAverage")</f>
        <v>-3.4000000000000002E-3</v>
      </c>
      <c r="AB6" s="7">
        <f>RTD("gartle.rtd",,"YahooFinanceQuotes",Table1[Symbol],"PercentChangeFromTwoHundredDayMovingAverage")</f>
        <v>-3.7000000000000002E-3</v>
      </c>
      <c r="AC6" s="8">
        <f>RTD("gartle.rtd",,"YahooFinanceQuotes",Table1[Symbol],"AverageDailyVolume")</f>
        <v>1739950</v>
      </c>
      <c r="AD6" s="4">
        <f>RTD("gartle.rtd",,"YahooFinanceQuotes",Table1[Symbol],"OneYrTargetPrice")</f>
        <v>646.66999999999996</v>
      </c>
      <c r="AE6" s="4">
        <f>RTD("gartle.rtd",,"YahooFinanceQuotes",Table1[Symbol],"PERatio")</f>
        <v>28.96</v>
      </c>
      <c r="AF6" s="4">
        <f>RTD("gartle.rtd",,"YahooFinanceQuotes",Table1[Symbol],"PEGRatio")</f>
        <v>1.33</v>
      </c>
      <c r="AG6" s="4">
        <f>RTD("gartle.rtd",,"YahooFinanceQuotes",Table1[Symbol],"EPSEstimateCurrentYear")</f>
        <v>25.65</v>
      </c>
      <c r="AH6" s="4">
        <f>RTD("gartle.rtd",,"YahooFinanceQuotes",Table1[Symbol],"EPSEstimateNextQuarter")</f>
        <v>6.99</v>
      </c>
      <c r="AI6" s="4">
        <f>RTD("gartle.rtd",,"YahooFinanceQuotes",Table1[Symbol],"EPSEstimateNextYear")</f>
        <v>29.4</v>
      </c>
      <c r="AJ6" s="4">
        <f>RTD("gartle.rtd",,"YahooFinanceQuotes",Table1[Symbol],"EarningsShare")</f>
        <v>19.001999999999999</v>
      </c>
      <c r="AK6" t="str">
        <f>RTD("gartle.rtd",,"YahooFinanceQuotes",Table1[Symbol],"MarketCapitalization")</f>
        <v>378.7B</v>
      </c>
      <c r="AL6" t="e">
        <f>RTD("gartle.rtd",,"YahooFinanceQuotes",Table1[Symbol],"DividendYield")</f>
        <v>#N/A</v>
      </c>
      <c r="AM6">
        <f>RTD("gartle.rtd",,"YahooFinanceQuotes",Table1[Symbol],"DividendShare")</f>
        <v>0</v>
      </c>
      <c r="AN6" t="str">
        <f>RTD("gartle.rtd",,"YahooFinanceQuotes",Table1[Symbol],"ExDividendDate")</f>
        <v/>
      </c>
      <c r="AO6" t="str">
        <f>RTD("gartle.rtd",,"YahooFinanceQuotes",Table1[Symbol],"DividendPayDate")</f>
        <v/>
      </c>
      <c r="AP6" s="4">
        <f>RTD("gartle.rtd",,"YahooFinanceQuotes",Table1[Symbol],"BookValue")</f>
        <v>145.685</v>
      </c>
      <c r="AQ6" s="4">
        <f>RTD("gartle.rtd",,"YahooFinanceQuotes",Table1[Symbol],"PriceBook")</f>
        <v>3.78</v>
      </c>
      <c r="AR6" s="4">
        <f>RTD("gartle.rtd",,"YahooFinanceQuotes",Table1[Symbol],"PriceSales")</f>
        <v>5.5</v>
      </c>
      <c r="AS6" s="4">
        <f>RTD("gartle.rtd",,"YahooFinanceQuotes",Table1[Symbol],"PriceEPSEstimateCurrentYear")</f>
        <v>21.45</v>
      </c>
      <c r="AT6" s="4">
        <f>RTD("gartle.rtd",,"YahooFinanceQuotes",Table1[Symbol],"PriceEPSEstimateNextYear")</f>
        <v>18.72</v>
      </c>
      <c r="AU6" t="str">
        <f>RTD("gartle.rtd",,"YahooFinanceQuotes",Table1[Symbol],"EBITDA")</f>
        <v>19.960B</v>
      </c>
      <c r="AV6" t="str">
        <f>RTD("gartle.rtd",,"YahooFinanceQuotes",Table1[Symbol],"Name")</f>
        <v>Google Inc.</v>
      </c>
      <c r="AW6" t="str">
        <f>RTD("gartle.rtd",,"YahooFinanceQuotes",Table1[Symbol],"StockExchange")</f>
        <v>NasdaqNM</v>
      </c>
      <c r="AX6" t="str">
        <f>RTD("gartle.rtd",,"YahooFinanceQuotes",Table1[Symbol],"Commission")</f>
        <v/>
      </c>
      <c r="AY6" t="str">
        <f>RTD("gartle.rtd",,"YahooFinanceQuotes",Table1[Symbol],"Notes")</f>
        <v/>
      </c>
      <c r="AZ6">
        <f>RTD("gartle.rtd",,"YahooFinanceQuotes",Table1[Symbol],"rtd_LastError")</f>
        <v>0</v>
      </c>
      <c r="BA6" t="str">
        <f>RTD("gartle.rtd",,"YahooFinanceQuotes",Table1[Symbol],"rtd_LastMessage")</f>
        <v/>
      </c>
      <c r="BB6" s="9">
        <f>RTD("gartle.rtd",,"YahooFinanceQuotes",Table1[Symbol],"rtd_LastUpdate")</f>
        <v>41943.660798865742</v>
      </c>
      <c r="BC6" s="2">
        <f>RTD("gartle.rtd",,"YahooFinanceQuotes",Table1[Symbol],"rtd_LastUpdateDate")</f>
        <v>41943</v>
      </c>
      <c r="BD6" s="3">
        <f>RTD("gartle.rtd",,"YahooFinanceQuotes",Table1[Symbol],"rtd_LastUpdateTime")</f>
        <v>0.66079886574074076</v>
      </c>
    </row>
    <row r="7" spans="2:56" x14ac:dyDescent="0.25">
      <c r="B7" s="10" t="s">
        <v>87</v>
      </c>
      <c r="C7" s="2">
        <f>RTD("gartle.rtd",,"YahooFinanceQuotes",Table1[Symbol],"LastTradeDate")</f>
        <v>41943</v>
      </c>
      <c r="D7" s="3">
        <f>RTD("gartle.rtd",,"YahooFinanceQuotes",Table1[Symbol],"LastTradeTime")</f>
        <v>0.65</v>
      </c>
      <c r="E7" s="1">
        <f>RTD("gartle.rtd",,"YahooFinanceQuotes",Table1[Symbol],"Last:tick")</f>
        <v>-1</v>
      </c>
      <c r="F7" s="4">
        <f>RTD("gartle.rtd",,"YahooFinanceQuotes",Table1[Symbol],"Last")</f>
        <v>229.28</v>
      </c>
      <c r="G7" s="20">
        <f>RTD("gartle.rtd",,"YahooFinanceQuotes",Table1[Symbol],"Change")</f>
        <v>26.38</v>
      </c>
      <c r="H7" s="7">
        <f>RTD("gartle.rtd",,"YahooFinanceQuotes",Table1[Symbol],"ChangeInPercent")</f>
        <v>0.13</v>
      </c>
      <c r="I7" s="4">
        <f>RTD("gartle.rtd",,"YahooFinanceQuotes",Table1[Symbol],"Open")</f>
        <v>224.24</v>
      </c>
      <c r="J7" s="4">
        <f>RTD("gartle.rtd",,"YahooFinanceQuotes",Table1[Symbol],"High")</f>
        <v>232.23</v>
      </c>
      <c r="K7" s="4">
        <f>RTD("gartle.rtd",,"YahooFinanceQuotes",Table1[Symbol],"Low")</f>
        <v>222.73</v>
      </c>
      <c r="L7" s="8">
        <f>RTD("gartle.rtd",,"YahooFinanceQuotes",Table1[Symbol],"Volume")</f>
        <v>6262459</v>
      </c>
      <c r="M7" t="str">
        <f>RTD("gartle.rtd",,"YahooFinanceQuotes",Table1[Symbol],"DaysRange")</f>
        <v>222.73 - 232.23</v>
      </c>
      <c r="N7" s="4">
        <f>RTD("gartle.rtd",,"YahooFinanceQuotes",Table1[Symbol],"PreviousClose")</f>
        <v>202.9</v>
      </c>
      <c r="O7">
        <f>RTD("gartle.rtd",,"YahooFinanceQuotes",Table1[Symbol],"ShortRatio")</f>
        <v>4.5999999999999996</v>
      </c>
      <c r="P7" s="4">
        <f>RTD("gartle.rtd",,"YahooFinanceQuotes",Table1[Symbol],"YearHigh")</f>
        <v>239.17</v>
      </c>
      <c r="Q7" s="4">
        <f>RTD("gartle.rtd",,"YahooFinanceQuotes",Table1[Symbol],"YearLow")</f>
        <v>136.02000000000001</v>
      </c>
      <c r="R7" t="str">
        <f>RTD("gartle.rtd",,"YahooFinanceQuotes",Table1[Symbol],"YearRange")</f>
        <v>136.02 - 239.17</v>
      </c>
      <c r="S7" s="6">
        <f>RTD("gartle.rtd",,"YahooFinanceQuotes",Table1[Symbol],"ChangeFromYearHigh")</f>
        <v>-9.89</v>
      </c>
      <c r="T7" s="6">
        <f>RTD("gartle.rtd",,"YahooFinanceQuotes",Table1[Symbol],"ChangeFromYearLow")</f>
        <v>93.26</v>
      </c>
      <c r="U7" s="7">
        <f>RTD("gartle.rtd",,"YahooFinanceQuotes",Table1[Symbol],"PercentChangeFromYearHigh")</f>
        <v>-4.1399999999999999E-2</v>
      </c>
      <c r="V7" s="7">
        <f>RTD("gartle.rtd",,"YahooFinanceQuotes",Table1[Symbol],"PercentChangeFromYearLow")</f>
        <v>0.68559999999999999</v>
      </c>
      <c r="W7" s="4">
        <f>RTD("gartle.rtd",,"YahooFinanceQuotes",Table1[Symbol],"FiftydayMovingAverage")</f>
        <v>205.547</v>
      </c>
      <c r="X7" s="4">
        <f>RTD("gartle.rtd",,"YahooFinanceQuotes",Table1[Symbol],"TwoHundredDayMovingAverage")</f>
        <v>184.61</v>
      </c>
      <c r="Y7" s="6">
        <f>RTD("gartle.rtd",,"YahooFinanceQuotes",Table1[Symbol],"ChangeFromFiftyDayMovingAverage")</f>
        <v>23.733000000000001</v>
      </c>
      <c r="Z7" s="6">
        <f>RTD("gartle.rtd",,"YahooFinanceQuotes",Table1[Symbol],"ChangeFromTwoHundredDayMovingAverage")</f>
        <v>44.67</v>
      </c>
      <c r="AA7" s="7">
        <f>RTD("gartle.rtd",,"YahooFinanceQuotes",Table1[Symbol],"PercentChangeFromFiftyDayMovingAverage")</f>
        <v>0.11550000000000001</v>
      </c>
      <c r="AB7" s="7">
        <f>RTD("gartle.rtd",,"YahooFinanceQuotes",Table1[Symbol],"PercentChangeFromTwoHundredDayMovingAverage")</f>
        <v>0.24199999999999999</v>
      </c>
      <c r="AC7" s="8">
        <f>RTD("gartle.rtd",,"YahooFinanceQuotes",Table1[Symbol],"AverageDailyVolume")</f>
        <v>1860350</v>
      </c>
      <c r="AD7" s="4">
        <f>RTD("gartle.rtd",,"YahooFinanceQuotes",Table1[Symbol],"OneYrTargetPrice")</f>
        <v>240</v>
      </c>
      <c r="AE7" s="4" t="e">
        <f>RTD("gartle.rtd",,"YahooFinanceQuotes",Table1[Symbol],"PERatio")</f>
        <v>#N/A</v>
      </c>
      <c r="AF7" s="4">
        <f>RTD("gartle.rtd",,"YahooFinanceQuotes",Table1[Symbol],"PEGRatio")</f>
        <v>2.86</v>
      </c>
      <c r="AG7" s="4">
        <f>RTD("gartle.rtd",,"YahooFinanceQuotes",Table1[Symbol],"EPSEstimateCurrentYear")</f>
        <v>1.87</v>
      </c>
      <c r="AH7" s="4">
        <f>RTD("gartle.rtd",,"YahooFinanceQuotes",Table1[Symbol],"EPSEstimateNextQuarter")</f>
        <v>0.56999999999999995</v>
      </c>
      <c r="AI7" s="4">
        <f>RTD("gartle.rtd",,"YahooFinanceQuotes",Table1[Symbol],"EPSEstimateNextYear")</f>
        <v>2.75</v>
      </c>
      <c r="AJ7" s="4">
        <f>RTD("gartle.rtd",,"YahooFinanceQuotes",Table1[Symbol],"EarningsShare")</f>
        <v>-0.11899999999999999</v>
      </c>
      <c r="AK7" t="str">
        <f>RTD("gartle.rtd",,"YahooFinanceQuotes",Table1[Symbol],"MarketCapitalization")</f>
        <v>28.181B</v>
      </c>
      <c r="AL7" t="e">
        <f>RTD("gartle.rtd",,"YahooFinanceQuotes",Table1[Symbol],"DividendYield")</f>
        <v>#N/A</v>
      </c>
      <c r="AM7">
        <f>RTD("gartle.rtd",,"YahooFinanceQuotes",Table1[Symbol],"DividendShare")</f>
        <v>0</v>
      </c>
      <c r="AN7" t="str">
        <f>RTD("gartle.rtd",,"YahooFinanceQuotes",Table1[Symbol],"ExDividendDate")</f>
        <v/>
      </c>
      <c r="AO7" t="str">
        <f>RTD("gartle.rtd",,"YahooFinanceQuotes",Table1[Symbol],"DividendPayDate")</f>
        <v/>
      </c>
      <c r="AP7" s="4">
        <f>RTD("gartle.rtd",,"YahooFinanceQuotes",Table1[Symbol],"BookValue")</f>
        <v>23.45</v>
      </c>
      <c r="AQ7" s="4">
        <f>RTD("gartle.rtd",,"YahooFinanceQuotes",Table1[Symbol],"PriceBook")</f>
        <v>8.65</v>
      </c>
      <c r="AR7" s="4">
        <f>RTD("gartle.rtd",,"YahooFinanceQuotes",Table1[Symbol],"PriceSales")</f>
        <v>13.5</v>
      </c>
      <c r="AS7" s="4">
        <f>RTD("gartle.rtd",,"YahooFinanceQuotes",Table1[Symbol],"PriceEPSEstimateCurrentYear")</f>
        <v>108.5</v>
      </c>
      <c r="AT7" s="4">
        <f>RTD("gartle.rtd",,"YahooFinanceQuotes",Table1[Symbol],"PriceEPSEstimateNextYear")</f>
        <v>73.78</v>
      </c>
      <c r="AU7" t="str">
        <f>RTD("gartle.rtd",,"YahooFinanceQuotes",Table1[Symbol],"EBITDA")</f>
        <v>196.4M</v>
      </c>
      <c r="AV7" t="str">
        <f>RTD("gartle.rtd",,"YahooFinanceQuotes",Table1[Symbol],"Name")</f>
        <v>LinkedIn Corporat</v>
      </c>
      <c r="AW7" t="str">
        <f>RTD("gartle.rtd",,"YahooFinanceQuotes",Table1[Symbol],"StockExchange")</f>
        <v>NYSE</v>
      </c>
      <c r="AX7" t="str">
        <f>RTD("gartle.rtd",,"YahooFinanceQuotes",Table1[Symbol],"Commission")</f>
        <v/>
      </c>
      <c r="AY7" t="str">
        <f>RTD("gartle.rtd",,"YahooFinanceQuotes",Table1[Symbol],"Notes")</f>
        <v/>
      </c>
      <c r="AZ7">
        <f>RTD("gartle.rtd",,"YahooFinanceQuotes",Table1[Symbol],"rtd_LastError")</f>
        <v>0</v>
      </c>
      <c r="BA7" t="str">
        <f>RTD("gartle.rtd",,"YahooFinanceQuotes",Table1[Symbol],"rtd_LastMessage")</f>
        <v/>
      </c>
      <c r="BB7" s="9">
        <f>RTD("gartle.rtd",,"YahooFinanceQuotes",Table1[Symbol],"rtd_LastUpdate")</f>
        <v>41943.660917673609</v>
      </c>
      <c r="BC7" s="2">
        <f>RTD("gartle.rtd",,"YahooFinanceQuotes",Table1[Symbol],"rtd_LastUpdateDate")</f>
        <v>41943</v>
      </c>
      <c r="BD7" s="3">
        <f>RTD("gartle.rtd",,"YahooFinanceQuotes",Table1[Symbol],"rtd_LastUpdateTime")</f>
        <v>0.66091767361111109</v>
      </c>
    </row>
    <row r="8" spans="2:56" x14ac:dyDescent="0.25">
      <c r="B8" s="10" t="s">
        <v>84</v>
      </c>
      <c r="C8" s="2">
        <f>RTD("gartle.rtd",,"YahooFinanceQuotes",Table1[Symbol],"LastTradeDate")</f>
        <v>41943</v>
      </c>
      <c r="D8" s="3">
        <f>RTD("gartle.rtd",,"YahooFinanceQuotes",Table1[Symbol],"LastTradeTime")</f>
        <v>0.65</v>
      </c>
      <c r="E8" s="1">
        <f>RTD("gartle.rtd",,"YahooFinanceQuotes",Table1[Symbol],"Last:tick")</f>
        <v>1</v>
      </c>
      <c r="F8" s="4">
        <f>RTD("gartle.rtd",,"YahooFinanceQuotes",Table1[Symbol],"Last")</f>
        <v>46.81</v>
      </c>
      <c r="G8" s="20">
        <f>RTD("gartle.rtd",,"YahooFinanceQuotes",Table1[Symbol],"Change")</f>
        <v>0.76</v>
      </c>
      <c r="H8" s="7">
        <f>RTD("gartle.rtd",,"YahooFinanceQuotes",Table1[Symbol],"ChangeInPercent")</f>
        <v>1.6500000000000001E-2</v>
      </c>
      <c r="I8" s="4">
        <f>RTD("gartle.rtd",,"YahooFinanceQuotes",Table1[Symbol],"Open")</f>
        <v>46.95</v>
      </c>
      <c r="J8" s="4">
        <f>RTD("gartle.rtd",,"YahooFinanceQuotes",Table1[Symbol],"High")</f>
        <v>46.97</v>
      </c>
      <c r="K8" s="4">
        <f>RTD("gartle.rtd",,"YahooFinanceQuotes",Table1[Symbol],"Low")</f>
        <v>46.48</v>
      </c>
      <c r="L8" s="8">
        <f>RTD("gartle.rtd",,"YahooFinanceQuotes",Table1[Symbol],"Volume")</f>
        <v>23017328</v>
      </c>
      <c r="M8" t="str">
        <f>RTD("gartle.rtd",,"YahooFinanceQuotes",Table1[Symbol],"DaysRange")</f>
        <v>46.48 - 46.97</v>
      </c>
      <c r="N8" s="4">
        <f>RTD("gartle.rtd",,"YahooFinanceQuotes",Table1[Symbol],"PreviousClose")</f>
        <v>46.05</v>
      </c>
      <c r="O8">
        <f>RTD("gartle.rtd",,"YahooFinanceQuotes",Table1[Symbol],"ShortRatio")</f>
        <v>2.1</v>
      </c>
      <c r="P8" s="4">
        <f>RTD("gartle.rtd",,"YahooFinanceQuotes",Table1[Symbol],"YearHigh")</f>
        <v>47.57</v>
      </c>
      <c r="Q8" s="4">
        <f>RTD("gartle.rtd",,"YahooFinanceQuotes",Table1[Symbol],"YearLow")</f>
        <v>34.630000000000003</v>
      </c>
      <c r="R8" t="str">
        <f>RTD("gartle.rtd",,"YahooFinanceQuotes",Table1[Symbol],"YearRange")</f>
        <v>34.63 - 47.57</v>
      </c>
      <c r="S8" s="6">
        <f>RTD("gartle.rtd",,"YahooFinanceQuotes",Table1[Symbol],"ChangeFromYearHigh")</f>
        <v>-0.76</v>
      </c>
      <c r="T8" s="6">
        <f>RTD("gartle.rtd",,"YahooFinanceQuotes",Table1[Symbol],"ChangeFromYearLow")</f>
        <v>12.18</v>
      </c>
      <c r="U8" s="7">
        <f>RTD("gartle.rtd",,"YahooFinanceQuotes",Table1[Symbol],"PercentChangeFromYearHigh")</f>
        <v>-1.6E-2</v>
      </c>
      <c r="V8" s="7">
        <f>RTD("gartle.rtd",,"YahooFinanceQuotes",Table1[Symbol],"PercentChangeFromYearLow")</f>
        <v>0.35170000000000001</v>
      </c>
      <c r="W8" s="4">
        <f>RTD("gartle.rtd",,"YahooFinanceQuotes",Table1[Symbol],"FiftydayMovingAverage")</f>
        <v>45.750500000000002</v>
      </c>
      <c r="X8" s="4">
        <f>RTD("gartle.rtd",,"YahooFinanceQuotes",Table1[Symbol],"TwoHundredDayMovingAverage")</f>
        <v>43.105899999999998</v>
      </c>
      <c r="Y8" s="6">
        <f>RTD("gartle.rtd",,"YahooFinanceQuotes",Table1[Symbol],"ChangeFromFiftyDayMovingAverage")</f>
        <v>1.0595000000000001</v>
      </c>
      <c r="Z8" s="6">
        <f>RTD("gartle.rtd",,"YahooFinanceQuotes",Table1[Symbol],"ChangeFromTwoHundredDayMovingAverage")</f>
        <v>3.7040999999999999</v>
      </c>
      <c r="AA8" s="7">
        <f>RTD("gartle.rtd",,"YahooFinanceQuotes",Table1[Symbol],"PercentChangeFromFiftyDayMovingAverage")</f>
        <v>2.3199999999999998E-2</v>
      </c>
      <c r="AB8" s="7">
        <f>RTD("gartle.rtd",,"YahooFinanceQuotes",Table1[Symbol],"PercentChangeFromTwoHundredDayMovingAverage")</f>
        <v>8.5900000000000004E-2</v>
      </c>
      <c r="AC8" s="8">
        <f>RTD("gartle.rtd",,"YahooFinanceQuotes",Table1[Symbol],"AverageDailyVolume")</f>
        <v>34175200</v>
      </c>
      <c r="AD8" s="4">
        <f>RTD("gartle.rtd",,"YahooFinanceQuotes",Table1[Symbol],"OneYrTargetPrice")</f>
        <v>48.97</v>
      </c>
      <c r="AE8" s="4">
        <f>RTD("gartle.rtd",,"YahooFinanceQuotes",Table1[Symbol],"PERatio")</f>
        <v>18.05</v>
      </c>
      <c r="AF8" s="4">
        <f>RTD("gartle.rtd",,"YahooFinanceQuotes",Table1[Symbol],"PEGRatio")</f>
        <v>2.62</v>
      </c>
      <c r="AG8" s="4">
        <f>RTD("gartle.rtd",,"YahooFinanceQuotes",Table1[Symbol],"EPSEstimateCurrentYear")</f>
        <v>2.68</v>
      </c>
      <c r="AH8" s="4">
        <f>RTD("gartle.rtd",,"YahooFinanceQuotes",Table1[Symbol],"EPSEstimateNextQuarter")</f>
        <v>0.69</v>
      </c>
      <c r="AI8" s="4">
        <f>RTD("gartle.rtd",,"YahooFinanceQuotes",Table1[Symbol],"EPSEstimateNextYear")</f>
        <v>3.14</v>
      </c>
      <c r="AJ8" s="4">
        <f>RTD("gartle.rtd",,"YahooFinanceQuotes",Table1[Symbol],"EarningsShare")</f>
        <v>2.5510000000000002</v>
      </c>
      <c r="AK8" t="str">
        <f>RTD("gartle.rtd",,"YahooFinanceQuotes",Table1[Symbol],"MarketCapitalization")</f>
        <v>385.8B</v>
      </c>
      <c r="AL8">
        <f>RTD("gartle.rtd",,"YahooFinanceQuotes",Table1[Symbol],"DividendYield")</f>
        <v>2.4300000000000002</v>
      </c>
      <c r="AM8">
        <f>RTD("gartle.rtd",,"YahooFinanceQuotes",Table1[Symbol],"DividendShare")</f>
        <v>1.1200000000000001</v>
      </c>
      <c r="AN8" t="str">
        <f>RTD("gartle.rtd",,"YahooFinanceQuotes",Table1[Symbol],"ExDividendDate")</f>
        <v>Aug 19</v>
      </c>
      <c r="AO8" t="str">
        <f>RTD("gartle.rtd",,"YahooFinanceQuotes",Table1[Symbol],"DividendPayDate")</f>
        <v>Dec 11</v>
      </c>
      <c r="AP8" s="4">
        <f>RTD("gartle.rtd",,"YahooFinanceQuotes",Table1[Symbol],"BookValue")</f>
        <v>10.923</v>
      </c>
      <c r="AQ8" s="4">
        <f>RTD("gartle.rtd",,"YahooFinanceQuotes",Table1[Symbol],"PriceBook")</f>
        <v>4.22</v>
      </c>
      <c r="AR8" s="4">
        <f>RTD("gartle.rtd",,"YahooFinanceQuotes",Table1[Symbol],"PriceSales")</f>
        <v>4.1500000000000004</v>
      </c>
      <c r="AS8" s="4">
        <f>RTD("gartle.rtd",,"YahooFinanceQuotes",Table1[Symbol],"PriceEPSEstimateCurrentYear")</f>
        <v>17.18</v>
      </c>
      <c r="AT8" s="4">
        <f>RTD("gartle.rtd",,"YahooFinanceQuotes",Table1[Symbol],"PriceEPSEstimateNextYear")</f>
        <v>14.67</v>
      </c>
      <c r="AU8" t="str">
        <f>RTD("gartle.rtd",,"YahooFinanceQuotes",Table1[Symbol],"EBITDA")</f>
        <v>33.261B</v>
      </c>
      <c r="AV8" t="str">
        <f>RTD("gartle.rtd",,"YahooFinanceQuotes",Table1[Symbol],"Name")</f>
        <v>Microsoft Corpora</v>
      </c>
      <c r="AW8" t="str">
        <f>RTD("gartle.rtd",,"YahooFinanceQuotes",Table1[Symbol],"StockExchange")</f>
        <v>NasdaqNM</v>
      </c>
      <c r="AX8" t="str">
        <f>RTD("gartle.rtd",,"YahooFinanceQuotes",Table1[Symbol],"Commission")</f>
        <v/>
      </c>
      <c r="AY8" t="str">
        <f>RTD("gartle.rtd",,"YahooFinanceQuotes",Table1[Symbol],"Notes")</f>
        <v/>
      </c>
      <c r="AZ8">
        <f>RTD("gartle.rtd",,"YahooFinanceQuotes",Table1[Symbol],"rtd_LastError")</f>
        <v>0</v>
      </c>
      <c r="BA8" t="str">
        <f>RTD("gartle.rtd",,"YahooFinanceQuotes",Table1[Symbol],"rtd_LastMessage")</f>
        <v/>
      </c>
      <c r="BB8" s="9">
        <f>RTD("gartle.rtd",,"YahooFinanceQuotes",Table1[Symbol],"rtd_LastUpdate")</f>
        <v>41943.660793090276</v>
      </c>
      <c r="BC8" s="2">
        <f>RTD("gartle.rtd",,"YahooFinanceQuotes",Table1[Symbol],"rtd_LastUpdateDate")</f>
        <v>41943</v>
      </c>
      <c r="BD8" s="3">
        <f>RTD("gartle.rtd",,"YahooFinanceQuotes",Table1[Symbol],"rtd_LastUpdateTime")</f>
        <v>0.66079309027777777</v>
      </c>
    </row>
    <row r="9" spans="2:56" x14ac:dyDescent="0.25">
      <c r="B9" s="10" t="s">
        <v>85</v>
      </c>
      <c r="C9" s="2">
        <f>RTD("gartle.rtd",,"YahooFinanceQuotes",Table1[Symbol],"LastTradeDate")</f>
        <v>41943</v>
      </c>
      <c r="D9" s="3">
        <f>RTD("gartle.rtd",,"YahooFinanceQuotes",Table1[Symbol],"LastTradeTime")</f>
        <v>0.65</v>
      </c>
      <c r="E9" s="1">
        <f>RTD("gartle.rtd",,"YahooFinanceQuotes",Table1[Symbol],"Last:tick")</f>
        <v>1</v>
      </c>
      <c r="F9" s="4">
        <f>RTD("gartle.rtd",,"YahooFinanceQuotes",Table1[Symbol],"Last")</f>
        <v>38.935000000000002</v>
      </c>
      <c r="G9" s="20">
        <f>RTD("gartle.rtd",,"YahooFinanceQuotes",Table1[Symbol],"Change")</f>
        <v>0.435</v>
      </c>
      <c r="H9" s="7">
        <f>RTD("gartle.rtd",,"YahooFinanceQuotes",Table1[Symbol],"ChangeInPercent")</f>
        <v>1.1299999999999999E-2</v>
      </c>
      <c r="I9" s="4">
        <f>RTD("gartle.rtd",,"YahooFinanceQuotes",Table1[Symbol],"Open")</f>
        <v>38.880000000000003</v>
      </c>
      <c r="J9" s="4">
        <f>RTD("gartle.rtd",,"YahooFinanceQuotes",Table1[Symbol],"High")</f>
        <v>39.020000000000003</v>
      </c>
      <c r="K9" s="4">
        <f>RTD("gartle.rtd",,"YahooFinanceQuotes",Table1[Symbol],"Low")</f>
        <v>38.825000000000003</v>
      </c>
      <c r="L9" s="8">
        <f>RTD("gartle.rtd",,"YahooFinanceQuotes",Table1[Symbol],"Volume")</f>
        <v>9401884</v>
      </c>
      <c r="M9" t="str">
        <f>RTD("gartle.rtd",,"YahooFinanceQuotes",Table1[Symbol],"DaysRange")</f>
        <v>38.825 - 39.02</v>
      </c>
      <c r="N9" s="4">
        <f>RTD("gartle.rtd",,"YahooFinanceQuotes",Table1[Symbol],"PreviousClose")</f>
        <v>38.5</v>
      </c>
      <c r="O9">
        <f>RTD("gartle.rtd",,"YahooFinanceQuotes",Table1[Symbol],"ShortRatio")</f>
        <v>1.2</v>
      </c>
      <c r="P9" s="4">
        <f>RTD("gartle.rtd",,"YahooFinanceQuotes",Table1[Symbol],"YearHigh")</f>
        <v>43.19</v>
      </c>
      <c r="Q9" s="4">
        <f>RTD("gartle.rtd",,"YahooFinanceQuotes",Table1[Symbol],"YearLow")</f>
        <v>33.22</v>
      </c>
      <c r="R9" t="str">
        <f>RTD("gartle.rtd",,"YahooFinanceQuotes",Table1[Symbol],"YearRange")</f>
        <v>33.22 - 43.19</v>
      </c>
      <c r="S9" s="6">
        <f>RTD("gartle.rtd",,"YahooFinanceQuotes",Table1[Symbol],"ChangeFromYearHigh")</f>
        <v>-4.2549999999999999</v>
      </c>
      <c r="T9" s="6">
        <f>RTD("gartle.rtd",,"YahooFinanceQuotes",Table1[Symbol],"ChangeFromYearLow")</f>
        <v>5.7149999999999999</v>
      </c>
      <c r="U9" s="7">
        <f>RTD("gartle.rtd",,"YahooFinanceQuotes",Table1[Symbol],"PercentChangeFromYearHigh")</f>
        <v>-9.849999999999999E-2</v>
      </c>
      <c r="V9" s="7">
        <f>RTD("gartle.rtd",,"YahooFinanceQuotes",Table1[Symbol],"PercentChangeFromYearLow")</f>
        <v>0.17199999999999999</v>
      </c>
      <c r="W9" s="4">
        <f>RTD("gartle.rtd",,"YahooFinanceQuotes",Table1[Symbol],"FiftydayMovingAverage")</f>
        <v>38.985700000000001</v>
      </c>
      <c r="X9" s="4">
        <f>RTD("gartle.rtd",,"YahooFinanceQuotes",Table1[Symbol],"TwoHundredDayMovingAverage")</f>
        <v>40.464599999999997</v>
      </c>
      <c r="Y9" s="6">
        <f>RTD("gartle.rtd",,"YahooFinanceQuotes",Table1[Symbol],"ChangeFromFiftyDayMovingAverage")</f>
        <v>-5.0700000000000002E-2</v>
      </c>
      <c r="Z9" s="6">
        <f>RTD("gartle.rtd",,"YahooFinanceQuotes",Table1[Symbol],"ChangeFromTwoHundredDayMovingAverage")</f>
        <v>-1.5296000000000001</v>
      </c>
      <c r="AA9" s="7">
        <f>RTD("gartle.rtd",,"YahooFinanceQuotes",Table1[Symbol],"PercentChangeFromFiftyDayMovingAverage")</f>
        <v>-1.2999999999999999E-3</v>
      </c>
      <c r="AB9" s="7">
        <f>RTD("gartle.rtd",,"YahooFinanceQuotes",Table1[Symbol],"PercentChangeFromTwoHundredDayMovingAverage")</f>
        <v>-3.78E-2</v>
      </c>
      <c r="AC9" s="8">
        <f>RTD("gartle.rtd",,"YahooFinanceQuotes",Table1[Symbol],"AverageDailyVolume")</f>
        <v>14899800</v>
      </c>
      <c r="AD9" s="4">
        <f>RTD("gartle.rtd",,"YahooFinanceQuotes",Table1[Symbol],"OneYrTargetPrice")</f>
        <v>43.85</v>
      </c>
      <c r="AE9" s="4">
        <f>RTD("gartle.rtd",,"YahooFinanceQuotes",Table1[Symbol],"PERatio")</f>
        <v>16.09</v>
      </c>
      <c r="AF9" s="4">
        <f>RTD("gartle.rtd",,"YahooFinanceQuotes",Table1[Symbol],"PEGRatio")</f>
        <v>1.38</v>
      </c>
      <c r="AG9" s="4">
        <f>RTD("gartle.rtd",,"YahooFinanceQuotes",Table1[Symbol],"EPSEstimateCurrentYear")</f>
        <v>3.05</v>
      </c>
      <c r="AH9" s="4">
        <f>RTD("gartle.rtd",,"YahooFinanceQuotes",Table1[Symbol],"EPSEstimateNextQuarter")</f>
        <v>0.73</v>
      </c>
      <c r="AI9" s="4">
        <f>RTD("gartle.rtd",,"YahooFinanceQuotes",Table1[Symbol],"EPSEstimateNextYear")</f>
        <v>3.31</v>
      </c>
      <c r="AJ9" s="4">
        <f>RTD("gartle.rtd",,"YahooFinanceQuotes",Table1[Symbol],"EarningsShare")</f>
        <v>2.3929999999999998</v>
      </c>
      <c r="AK9" t="str">
        <f>RTD("gartle.rtd",,"YahooFinanceQuotes",Table1[Symbol],"MarketCapitalization")</f>
        <v>172.5B</v>
      </c>
      <c r="AL9">
        <f>RTD("gartle.rtd",,"YahooFinanceQuotes",Table1[Symbol],"DividendYield")</f>
        <v>1.25</v>
      </c>
      <c r="AM9">
        <f>RTD("gartle.rtd",,"YahooFinanceQuotes",Table1[Symbol],"DividendShare")</f>
        <v>0.48</v>
      </c>
      <c r="AN9" t="str">
        <f>RTD("gartle.rtd",,"YahooFinanceQuotes",Table1[Symbol],"ExDividendDate")</f>
        <v>Oct  6</v>
      </c>
      <c r="AO9" t="str">
        <f>RTD("gartle.rtd",,"YahooFinanceQuotes",Table1[Symbol],"DividendPayDate")</f>
        <v>Oct 29</v>
      </c>
      <c r="AP9" s="4">
        <f>RTD("gartle.rtd",,"YahooFinanceQuotes",Table1[Symbol],"BookValue")</f>
        <v>10.67</v>
      </c>
      <c r="AQ9" s="4">
        <f>RTD("gartle.rtd",,"YahooFinanceQuotes",Table1[Symbol],"PriceBook")</f>
        <v>3.61</v>
      </c>
      <c r="AR9" s="4">
        <f>RTD("gartle.rtd",,"YahooFinanceQuotes",Table1[Symbol],"PriceSales")</f>
        <v>4.43</v>
      </c>
      <c r="AS9" s="4">
        <f>RTD("gartle.rtd",,"YahooFinanceQuotes",Table1[Symbol],"PriceEPSEstimateCurrentYear")</f>
        <v>12.62</v>
      </c>
      <c r="AT9" s="4">
        <f>RTD("gartle.rtd",,"YahooFinanceQuotes",Table1[Symbol],"PriceEPSEstimateNextYear")</f>
        <v>11.63</v>
      </c>
      <c r="AU9" t="str">
        <f>RTD("gartle.rtd",,"YahooFinanceQuotes",Table1[Symbol],"EBITDA")</f>
        <v>16.826B</v>
      </c>
      <c r="AV9" t="str">
        <f>RTD("gartle.rtd",,"YahooFinanceQuotes",Table1[Symbol],"Name")</f>
        <v>Oracle Corporatio</v>
      </c>
      <c r="AW9" t="str">
        <f>RTD("gartle.rtd",,"YahooFinanceQuotes",Table1[Symbol],"StockExchange")</f>
        <v>NYSE</v>
      </c>
      <c r="AX9" t="str">
        <f>RTD("gartle.rtd",,"YahooFinanceQuotes",Table1[Symbol],"Commission")</f>
        <v/>
      </c>
      <c r="AY9" t="str">
        <f>RTD("gartle.rtd",,"YahooFinanceQuotes",Table1[Symbol],"Notes")</f>
        <v/>
      </c>
      <c r="AZ9">
        <f>RTD("gartle.rtd",,"YahooFinanceQuotes",Table1[Symbol],"rtd_LastError")</f>
        <v>0</v>
      </c>
      <c r="BA9" t="str">
        <f>RTD("gartle.rtd",,"YahooFinanceQuotes",Table1[Symbol],"rtd_LastMessage")</f>
        <v/>
      </c>
      <c r="BB9" s="9">
        <f>RTD("gartle.rtd",,"YahooFinanceQuotes",Table1[Symbol],"rtd_LastUpdate")</f>
        <v>41943.66083479167</v>
      </c>
      <c r="BC9" s="2">
        <f>RTD("gartle.rtd",,"YahooFinanceQuotes",Table1[Symbol],"rtd_LastUpdateDate")</f>
        <v>41943</v>
      </c>
      <c r="BD9" s="3">
        <f>RTD("gartle.rtd",,"YahooFinanceQuotes",Table1[Symbol],"rtd_LastUpdateTime")</f>
        <v>0.6608347916666667</v>
      </c>
    </row>
    <row r="10" spans="2:56" x14ac:dyDescent="0.25">
      <c r="B10" s="10" t="s">
        <v>88</v>
      </c>
      <c r="C10" s="2">
        <f>RTD("gartle.rtd",,"YahooFinanceQuotes",Table1[Symbol],"LastTradeDate")</f>
        <v>41943</v>
      </c>
      <c r="D10" s="3">
        <f>RTD("gartle.rtd",,"YahooFinanceQuotes",Table1[Symbol],"LastTradeTime")</f>
        <v>0.65</v>
      </c>
      <c r="E10" s="1">
        <f>RTD("gartle.rtd",,"YahooFinanceQuotes",Table1[Symbol],"Last:tick")</f>
        <v>1</v>
      </c>
      <c r="F10" s="4">
        <f>RTD("gartle.rtd",,"YahooFinanceQuotes",Table1[Symbol],"Last")</f>
        <v>46.024999999999999</v>
      </c>
      <c r="G10" s="20">
        <f>RTD("gartle.rtd",,"YahooFinanceQuotes",Table1[Symbol],"Change")</f>
        <v>0.39500000000000002</v>
      </c>
      <c r="H10" s="7">
        <f>RTD("gartle.rtd",,"YahooFinanceQuotes",Table1[Symbol],"ChangeInPercent")</f>
        <v>8.6999999999999994E-3</v>
      </c>
      <c r="I10" s="4">
        <f>RTD("gartle.rtd",,"YahooFinanceQuotes",Table1[Symbol],"Open")</f>
        <v>46.2</v>
      </c>
      <c r="J10" s="4">
        <f>RTD("gartle.rtd",,"YahooFinanceQuotes",Table1[Symbol],"High")</f>
        <v>46.52</v>
      </c>
      <c r="K10" s="4">
        <f>RTD("gartle.rtd",,"YahooFinanceQuotes",Table1[Symbol],"Low")</f>
        <v>45.67</v>
      </c>
      <c r="L10" s="8">
        <f>RTD("gartle.rtd",,"YahooFinanceQuotes",Table1[Symbol],"Volume")</f>
        <v>14430310</v>
      </c>
      <c r="M10" t="str">
        <f>RTD("gartle.rtd",,"YahooFinanceQuotes",Table1[Symbol],"DaysRange")</f>
        <v>45.67 - 46.52</v>
      </c>
      <c r="N10" s="4">
        <f>RTD("gartle.rtd",,"YahooFinanceQuotes",Table1[Symbol],"PreviousClose")</f>
        <v>45.63</v>
      </c>
      <c r="O10">
        <f>RTD("gartle.rtd",,"YahooFinanceQuotes",Table1[Symbol],"ShortRatio")</f>
        <v>0.8</v>
      </c>
      <c r="P10" s="4">
        <f>RTD("gartle.rtd",,"YahooFinanceQuotes",Table1[Symbol],"YearHigh")</f>
        <v>46.15</v>
      </c>
      <c r="Q10" s="4">
        <f>RTD("gartle.rtd",,"YahooFinanceQuotes",Table1[Symbol],"YearLow")</f>
        <v>32.06</v>
      </c>
      <c r="R10" t="str">
        <f>RTD("gartle.rtd",,"YahooFinanceQuotes",Table1[Symbol],"YearRange")</f>
        <v>32.06 - 46.15</v>
      </c>
      <c r="S10" s="6">
        <f>RTD("gartle.rtd",,"YahooFinanceQuotes",Table1[Symbol],"ChangeFromYearHigh")</f>
        <v>-0.125</v>
      </c>
      <c r="T10" s="6">
        <f>RTD("gartle.rtd",,"YahooFinanceQuotes",Table1[Symbol],"ChangeFromYearLow")</f>
        <v>13.965</v>
      </c>
      <c r="U10" s="7">
        <f>RTD("gartle.rtd",,"YahooFinanceQuotes",Table1[Symbol],"PercentChangeFromYearHigh")</f>
        <v>-2.7000000000000001E-3</v>
      </c>
      <c r="V10" s="7">
        <f>RTD("gartle.rtd",,"YahooFinanceQuotes",Table1[Symbol],"PercentChangeFromYearLow")</f>
        <v>0.43560000000000004</v>
      </c>
      <c r="W10" s="4">
        <f>RTD("gartle.rtd",,"YahooFinanceQuotes",Table1[Symbol],"FiftydayMovingAverage")</f>
        <v>41.097799999999999</v>
      </c>
      <c r="X10" s="4">
        <f>RTD("gartle.rtd",,"YahooFinanceQuotes",Table1[Symbol],"TwoHundredDayMovingAverage")</f>
        <v>37.1051</v>
      </c>
      <c r="Y10" s="6">
        <f>RTD("gartle.rtd",,"YahooFinanceQuotes",Table1[Symbol],"ChangeFromFiftyDayMovingAverage")</f>
        <v>4.9272</v>
      </c>
      <c r="Z10" s="6">
        <f>RTD("gartle.rtd",,"YahooFinanceQuotes",Table1[Symbol],"ChangeFromTwoHundredDayMovingAverage")</f>
        <v>8.9199000000000002</v>
      </c>
      <c r="AA10" s="7">
        <f>RTD("gartle.rtd",,"YahooFinanceQuotes",Table1[Symbol],"PercentChangeFromFiftyDayMovingAverage")</f>
        <v>0.11990000000000001</v>
      </c>
      <c r="AB10" s="7">
        <f>RTD("gartle.rtd",,"YahooFinanceQuotes",Table1[Symbol],"PercentChangeFromTwoHundredDayMovingAverage")</f>
        <v>0.2404</v>
      </c>
      <c r="AC10" s="8">
        <f>RTD("gartle.rtd",,"YahooFinanceQuotes",Table1[Symbol],"AverageDailyVolume")</f>
        <v>34564400</v>
      </c>
      <c r="AD10" s="4">
        <f>RTD("gartle.rtd",,"YahooFinanceQuotes",Table1[Symbol],"OneYrTargetPrice")</f>
        <v>47.75</v>
      </c>
      <c r="AE10" s="4">
        <f>RTD("gartle.rtd",,"YahooFinanceQuotes",Table1[Symbol],"PERatio")</f>
        <v>6.1</v>
      </c>
      <c r="AF10" s="4">
        <f>RTD("gartle.rtd",,"YahooFinanceQuotes",Table1[Symbol],"PEGRatio")</f>
        <v>4.62</v>
      </c>
      <c r="AG10" s="4">
        <f>RTD("gartle.rtd",,"YahooFinanceQuotes",Table1[Symbol],"EPSEstimateCurrentYear")</f>
        <v>1.61</v>
      </c>
      <c r="AH10" s="4">
        <f>RTD("gartle.rtd",,"YahooFinanceQuotes",Table1[Symbol],"EPSEstimateNextQuarter")</f>
        <v>0.28000000000000003</v>
      </c>
      <c r="AI10" s="4">
        <f>RTD("gartle.rtd",,"YahooFinanceQuotes",Table1[Symbol],"EPSEstimateNextYear")</f>
        <v>1.21</v>
      </c>
      <c r="AJ10" s="4">
        <f>RTD("gartle.rtd",,"YahooFinanceQuotes",Table1[Symbol],"EarningsShare")</f>
        <v>7.4790000000000001</v>
      </c>
      <c r="AK10" t="str">
        <f>RTD("gartle.rtd",,"YahooFinanceQuotes",Table1[Symbol],"MarketCapitalization")</f>
        <v>45.058B</v>
      </c>
      <c r="AL10" t="e">
        <f>RTD("gartle.rtd",,"YahooFinanceQuotes",Table1[Symbol],"DividendYield")</f>
        <v>#N/A</v>
      </c>
      <c r="AM10">
        <f>RTD("gartle.rtd",,"YahooFinanceQuotes",Table1[Symbol],"DividendShare")</f>
        <v>0</v>
      </c>
      <c r="AN10" t="str">
        <f>RTD("gartle.rtd",,"YahooFinanceQuotes",Table1[Symbol],"ExDividendDate")</f>
        <v/>
      </c>
      <c r="AO10" t="str">
        <f>RTD("gartle.rtd",,"YahooFinanceQuotes",Table1[Symbol],"DividendPayDate")</f>
        <v/>
      </c>
      <c r="AP10" s="4">
        <f>RTD("gartle.rtd",,"YahooFinanceQuotes",Table1[Symbol],"BookValue")</f>
        <v>37.500999999999998</v>
      </c>
      <c r="AQ10" s="4">
        <f>RTD("gartle.rtd",,"YahooFinanceQuotes",Table1[Symbol],"PriceBook")</f>
        <v>1.22</v>
      </c>
      <c r="AR10" s="4">
        <f>RTD("gartle.rtd",,"YahooFinanceQuotes",Table1[Symbol],"PriceSales")</f>
        <v>9.65</v>
      </c>
      <c r="AS10" s="4">
        <f>RTD("gartle.rtd",,"YahooFinanceQuotes",Table1[Symbol],"PriceEPSEstimateCurrentYear")</f>
        <v>28.34</v>
      </c>
      <c r="AT10" s="4">
        <f>RTD("gartle.rtd",,"YahooFinanceQuotes",Table1[Symbol],"PriceEPSEstimateNextYear")</f>
        <v>37.71</v>
      </c>
      <c r="AU10" t="str">
        <f>RTD("gartle.rtd",,"YahooFinanceQuotes",Table1[Symbol],"EBITDA")</f>
        <v>720.7M</v>
      </c>
      <c r="AV10" t="str">
        <f>RTD("gartle.rtd",,"YahooFinanceQuotes",Table1[Symbol],"Name")</f>
        <v>Yahoo! Inc.</v>
      </c>
      <c r="AW10" t="str">
        <f>RTD("gartle.rtd",,"YahooFinanceQuotes",Table1[Symbol],"StockExchange")</f>
        <v>NasdaqNM</v>
      </c>
      <c r="AX10" t="str">
        <f>RTD("gartle.rtd",,"YahooFinanceQuotes",Table1[Symbol],"Commission")</f>
        <v/>
      </c>
      <c r="AY10" t="str">
        <f>RTD("gartle.rtd",,"YahooFinanceQuotes",Table1[Symbol],"Notes")</f>
        <v/>
      </c>
      <c r="AZ10">
        <f>RTD("gartle.rtd",,"YahooFinanceQuotes",Table1[Symbol],"rtd_LastError")</f>
        <v>0</v>
      </c>
      <c r="BA10" t="str">
        <f>RTD("gartle.rtd",,"YahooFinanceQuotes",Table1[Symbol],"rtd_LastMessage")</f>
        <v/>
      </c>
      <c r="BB10" s="9">
        <f>RTD("gartle.rtd",,"YahooFinanceQuotes",Table1[Symbol],"rtd_LastUpdate")</f>
        <v>41943.660757337966</v>
      </c>
      <c r="BC10" s="2">
        <f>RTD("gartle.rtd",,"YahooFinanceQuotes",Table1[Symbol],"rtd_LastUpdateDate")</f>
        <v>41943</v>
      </c>
      <c r="BD10" s="3">
        <f>RTD("gartle.rtd",,"YahooFinanceQuotes",Table1[Symbol],"rtd_LastUpdateTime")</f>
        <v>0.66075733796296299</v>
      </c>
    </row>
  </sheetData>
  <sortState ref="B13:B19">
    <sortCondition ref="B13:B19"/>
  </sortState>
  <conditionalFormatting sqref="F4:F10">
    <cfRule type="expression" dxfId="3" priority="10">
      <formula>$E4&lt;0</formula>
    </cfRule>
    <cfRule type="expression" dxfId="2" priority="11">
      <formula>$E4&gt;0</formula>
    </cfRule>
  </conditionalFormatting>
  <conditionalFormatting sqref="B4:B10">
    <cfRule type="expression" dxfId="1" priority="8">
      <formula>$G4&lt;0</formula>
    </cfRule>
    <cfRule type="expression" dxfId="0" priority="9">
      <formula>$G4&gt;0</formula>
    </cfRule>
  </conditionalFormatting>
  <conditionalFormatting sqref="E4:E10">
    <cfRule type="iconSet" priority="40">
      <iconSet iconSet="3Arrows" showValue="0">
        <cfvo type="percent" val="0"/>
        <cfvo type="num" val="0"/>
        <cfvo type="num" val="1"/>
      </iconSet>
    </cfRule>
  </conditionalFormatting>
  <conditionalFormatting sqref="H4:H10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L10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10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:V10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4:AA10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:AB10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4:AC10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15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B3:Z10"/>
  <sheetViews>
    <sheetView showGridLines="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D4" sqref="D4"/>
    </sheetView>
  </sheetViews>
  <sheetFormatPr defaultRowHeight="15" x14ac:dyDescent="0.25"/>
  <cols>
    <col min="1" max="1" width="2.5703125" customWidth="1"/>
    <col min="2" max="2" width="7.5703125" bestFit="1" customWidth="1"/>
    <col min="3" max="3" width="9.85546875" customWidth="1"/>
    <col min="4" max="4" width="11" customWidth="1"/>
    <col min="5" max="9" width="7.5703125" bestFit="1" customWidth="1"/>
    <col min="10" max="10" width="16.28515625" bestFit="1" customWidth="1"/>
    <col min="11" max="11" width="8.85546875" style="5" bestFit="1" customWidth="1"/>
    <col min="12" max="12" width="10.5703125" style="5" bestFit="1" customWidth="1"/>
    <col min="13" max="13" width="19.42578125" style="5" bestFit="1" customWidth="1"/>
    <col min="14" max="14" width="10.140625" bestFit="1" customWidth="1"/>
    <col min="15" max="15" width="10.7109375" bestFit="1" customWidth="1"/>
    <col min="16" max="16" width="9.85546875" style="5" bestFit="1" customWidth="1"/>
    <col min="17" max="17" width="9" style="5" bestFit="1" customWidth="1"/>
    <col min="18" max="18" width="8.5703125" style="5" bestFit="1" customWidth="1"/>
    <col min="19" max="19" width="9.85546875" style="5" bestFit="1" customWidth="1"/>
    <col min="20" max="20" width="12.85546875" style="5" bestFit="1" customWidth="1"/>
    <col min="21" max="21" width="12" style="5" bestFit="1" customWidth="1"/>
    <col min="22" max="22" width="12.28515625" bestFit="1" customWidth="1"/>
    <col min="23" max="23" width="16" bestFit="1" customWidth="1"/>
    <col min="24" max="24" width="16.140625" bestFit="1" customWidth="1"/>
    <col min="25" max="25" width="19" bestFit="1" customWidth="1"/>
    <col min="26" max="26" width="19.28515625" bestFit="1" customWidth="1"/>
  </cols>
  <sheetData>
    <row r="3" spans="2:26" x14ac:dyDescent="0.25">
      <c r="B3" t="s">
        <v>0</v>
      </c>
      <c r="C3" s="18" t="s">
        <v>61</v>
      </c>
      <c r="D3" s="17" t="s">
        <v>89</v>
      </c>
      <c r="E3" s="17" t="s">
        <v>6</v>
      </c>
      <c r="F3" s="17" t="s">
        <v>7</v>
      </c>
      <c r="G3" s="17" t="s">
        <v>8</v>
      </c>
      <c r="H3" s="17" t="s">
        <v>62</v>
      </c>
      <c r="I3" s="17" t="s">
        <v>4</v>
      </c>
      <c r="J3" s="17" t="s">
        <v>63</v>
      </c>
      <c r="K3" s="17" t="s">
        <v>64</v>
      </c>
      <c r="L3" s="17" t="s">
        <v>65</v>
      </c>
      <c r="M3" s="17" t="s">
        <v>66</v>
      </c>
      <c r="N3" s="17" t="s">
        <v>9</v>
      </c>
      <c r="O3" s="17" t="s">
        <v>67</v>
      </c>
      <c r="P3" s="17" t="s">
        <v>68</v>
      </c>
      <c r="Q3" s="17" t="s">
        <v>69</v>
      </c>
      <c r="R3" s="17" t="s">
        <v>70</v>
      </c>
      <c r="S3" s="17" t="s">
        <v>11</v>
      </c>
      <c r="T3" s="17" t="s">
        <v>71</v>
      </c>
      <c r="U3" s="17" t="s">
        <v>72</v>
      </c>
      <c r="V3" s="17" t="s">
        <v>49</v>
      </c>
      <c r="W3" t="s">
        <v>50</v>
      </c>
      <c r="X3" s="17" t="s">
        <v>51</v>
      </c>
      <c r="Y3" s="17" t="s">
        <v>52</v>
      </c>
      <c r="Z3" s="17" t="s">
        <v>53</v>
      </c>
    </row>
    <row r="4" spans="2:26" x14ac:dyDescent="0.25">
      <c r="B4" s="10" t="s">
        <v>54</v>
      </c>
      <c r="C4" s="11"/>
      <c r="D4" s="2">
        <f>RTD("gartle.rtd",,"YahooFinanceHistoricalData",Table4[Symbol],Table4[Date],"Date")</f>
        <v>41942</v>
      </c>
      <c r="E4" s="4">
        <f>RTD("gartle.rtd",,"YahooFinanceHistoricalData",Table4[Symbol],Table4[Date],"Open")</f>
        <v>106.96</v>
      </c>
      <c r="F4" s="4">
        <f>RTD("gartle.rtd",,"YahooFinanceHistoricalData",Table4[Symbol],Table4[Date],"High")</f>
        <v>107.35</v>
      </c>
      <c r="G4" s="4">
        <f>RTD("gartle.rtd",,"YahooFinanceHistoricalData",Table4[Symbol],Table4[Date],"Low")</f>
        <v>105.9</v>
      </c>
      <c r="H4" s="4">
        <f>RTD("gartle.rtd",,"YahooFinanceHistoricalData",Table4[Symbol],Table4[Date],"Close")</f>
        <v>106.98</v>
      </c>
      <c r="I4" s="6">
        <f>RTD("gartle.rtd",,"YahooFinanceHistoricalData",Table4[Symbol],Table4[Date],"Change")</f>
        <v>-0.35999999999999943</v>
      </c>
      <c r="J4" s="7">
        <f>RTD("gartle.rtd",,"YahooFinanceHistoricalData",Table4[Symbol],Table4[Date],"ChangeInPercent")</f>
        <v>-3.3538289547233591E-3</v>
      </c>
      <c r="K4" s="4">
        <f>RTD("gartle.rtd",,"YahooFinanceHistoricalData",Table4[Symbol],Table4[Date],"AdjClose")</f>
        <v>106.98</v>
      </c>
      <c r="L4" s="6">
        <f>RTD("gartle.rtd",,"YahooFinanceHistoricalData",Table4[Symbol],Table4[Date],"AdjChange")</f>
        <v>-0.35999999999999943</v>
      </c>
      <c r="M4" s="7">
        <f>RTD("gartle.rtd",,"YahooFinanceHistoricalData",Table4[Symbol],Table4[Date],"AdjChangeInPercent")</f>
        <v>-3.3538289547233591E-3</v>
      </c>
      <c r="N4" s="8">
        <f>RTD("gartle.rtd",,"YahooFinanceHistoricalData",Table4[Symbol],Table4[Date],"Volume")</f>
        <v>40589700</v>
      </c>
      <c r="O4" s="2">
        <f>RTD("gartle.rtd",,"YahooFinanceHistoricalData",Table4[Symbol],Table4[Date],"PrevDate")</f>
        <v>41941</v>
      </c>
      <c r="P4" s="4">
        <f>RTD("gartle.rtd",,"YahooFinanceHistoricalData",Table4[Symbol],Table4[Date],"PrevOpen")</f>
        <v>106.65</v>
      </c>
      <c r="Q4" s="4">
        <f>RTD("gartle.rtd",,"YahooFinanceHistoricalData",Table4[Symbol],Table4[Date],"PrevHigh")</f>
        <v>107.37</v>
      </c>
      <c r="R4" s="4">
        <f>RTD("gartle.rtd",,"YahooFinanceHistoricalData",Table4[Symbol],Table4[Date],"PrevLow")</f>
        <v>106.36</v>
      </c>
      <c r="S4" s="4">
        <f>RTD("gartle.rtd",,"YahooFinanceHistoricalData",Table4[Symbol],Table4[Date],"PrevClose")</f>
        <v>107.34</v>
      </c>
      <c r="T4" s="4">
        <f>RTD("gartle.rtd",,"YahooFinanceHistoricalData",Table4[Symbol],Table4[Date],"PrevAdjClose")</f>
        <v>107.34</v>
      </c>
      <c r="U4" s="8">
        <f>RTD("gartle.rtd",,"YahooFinanceHistoricalData",Table4[Symbol],Table4[Date],"PrevVolume")</f>
        <v>52586100</v>
      </c>
      <c r="V4">
        <f>RTD("gartle.rtd",,"YahooFinanceHistoricalData",Table4[Symbol],Table4[Date],"rtd_LastError")</f>
        <v>0</v>
      </c>
      <c r="W4" t="str">
        <f>RTD("gartle.rtd",,"YahooFinanceHistoricalData",Table4[Symbol],Table4[Date],"rtd_LastMessage")</f>
        <v/>
      </c>
      <c r="X4" s="9">
        <f>RTD("gartle.rtd",,"YahooFinanceHistoricalData",Table4[Symbol],Table4[Date],"rtd_LastUpdate")</f>
        <v>41943.638402743054</v>
      </c>
      <c r="Y4" s="2">
        <f>RTD("gartle.rtd",,"YahooFinanceHistoricalData",Table4[Symbol],Table4[Date],"rtd_LastUpdateDate")</f>
        <v>41943</v>
      </c>
      <c r="Z4" s="3">
        <f>RTD("gartle.rtd",,"YahooFinanceHistoricalData",Table4[Symbol],Table4[Date],"rtd_LastUpdateTime")</f>
        <v>0.63840274305555555</v>
      </c>
    </row>
    <row r="5" spans="2:26" x14ac:dyDescent="0.25">
      <c r="B5" s="10" t="s">
        <v>86</v>
      </c>
      <c r="C5" s="11"/>
      <c r="D5" s="2">
        <f>RTD("gartle.rtd",,"YahooFinanceHistoricalData",Table4[Symbol],Table4[Date],"Date")</f>
        <v>41942</v>
      </c>
      <c r="E5" s="4">
        <f>RTD("gartle.rtd",,"YahooFinanceHistoricalData",Table4[Symbol],Table4[Date],"Open")</f>
        <v>75.05</v>
      </c>
      <c r="F5" s="4">
        <f>RTD("gartle.rtd",,"YahooFinanceHistoricalData",Table4[Symbol],Table4[Date],"High")</f>
        <v>75.349999999999994</v>
      </c>
      <c r="G5" s="4">
        <f>RTD("gartle.rtd",,"YahooFinanceHistoricalData",Table4[Symbol],Table4[Date],"Low")</f>
        <v>72.900000000000006</v>
      </c>
      <c r="H5" s="4">
        <f>RTD("gartle.rtd",,"YahooFinanceHistoricalData",Table4[Symbol],Table4[Date],"Close")</f>
        <v>74.11</v>
      </c>
      <c r="I5" s="6">
        <f>RTD("gartle.rtd",,"YahooFinanceHistoricalData",Table4[Symbol],Table4[Date],"Change")</f>
        <v>-1.75</v>
      </c>
      <c r="J5" s="7">
        <f>RTD("gartle.rtd",,"YahooFinanceHistoricalData",Table4[Symbol],Table4[Date],"ChangeInPercent")</f>
        <v>-2.3068810967571851E-2</v>
      </c>
      <c r="K5" s="4">
        <f>RTD("gartle.rtd",,"YahooFinanceHistoricalData",Table4[Symbol],Table4[Date],"AdjClose")</f>
        <v>74.11</v>
      </c>
      <c r="L5" s="6">
        <f>RTD("gartle.rtd",,"YahooFinanceHistoricalData",Table4[Symbol],Table4[Date],"AdjChange")</f>
        <v>-1.75</v>
      </c>
      <c r="M5" s="7">
        <f>RTD("gartle.rtd",,"YahooFinanceHistoricalData",Table4[Symbol],Table4[Date],"AdjChangeInPercent")</f>
        <v>-2.3068810967571851E-2</v>
      </c>
      <c r="N5" s="8">
        <f>RTD("gartle.rtd",,"YahooFinanceHistoricalData",Table4[Symbol],Table4[Date],"Volume")</f>
        <v>83154900</v>
      </c>
      <c r="O5" s="2">
        <f>RTD("gartle.rtd",,"YahooFinanceHistoricalData",Table4[Symbol],Table4[Date],"PrevDate")</f>
        <v>41941</v>
      </c>
      <c r="P5" s="4">
        <f>RTD("gartle.rtd",,"YahooFinanceHistoricalData",Table4[Symbol],Table4[Date],"PrevOpen")</f>
        <v>75.45</v>
      </c>
      <c r="Q5" s="4">
        <f>RTD("gartle.rtd",,"YahooFinanceHistoricalData",Table4[Symbol],Table4[Date],"PrevHigh")</f>
        <v>76.88</v>
      </c>
      <c r="R5" s="4">
        <f>RTD("gartle.rtd",,"YahooFinanceHistoricalData",Table4[Symbol],Table4[Date],"PrevLow")</f>
        <v>74.78</v>
      </c>
      <c r="S5" s="4">
        <f>RTD("gartle.rtd",,"YahooFinanceHistoricalData",Table4[Symbol],Table4[Date],"PrevClose")</f>
        <v>75.86</v>
      </c>
      <c r="T5" s="4">
        <f>RTD("gartle.rtd",,"YahooFinanceHistoricalData",Table4[Symbol],Table4[Date],"PrevAdjClose")</f>
        <v>75.86</v>
      </c>
      <c r="U5" s="8">
        <f>RTD("gartle.rtd",,"YahooFinanceHistoricalData",Table4[Symbol],Table4[Date],"PrevVolume")</f>
        <v>105935800</v>
      </c>
      <c r="V5">
        <f>RTD("gartle.rtd",,"YahooFinanceHistoricalData",Table4[Symbol],Table4[Date],"rtd_LastError")</f>
        <v>0</v>
      </c>
      <c r="W5" t="str">
        <f>RTD("gartle.rtd",,"YahooFinanceHistoricalData",Table4[Symbol],Table4[Date],"rtd_LastMessage")</f>
        <v/>
      </c>
      <c r="X5" s="9">
        <f>RTD("gartle.rtd",,"YahooFinanceHistoricalData",Table4[Symbol],Table4[Date],"rtd_LastUpdate")</f>
        <v>41943.638303078704</v>
      </c>
      <c r="Y5" s="2">
        <f>RTD("gartle.rtd",,"YahooFinanceHistoricalData",Table4[Symbol],Table4[Date],"rtd_LastUpdateDate")</f>
        <v>41943</v>
      </c>
      <c r="Z5" s="3">
        <f>RTD("gartle.rtd",,"YahooFinanceHistoricalData",Table4[Symbol],Table4[Date],"rtd_LastUpdateTime")</f>
        <v>0.63830307870370373</v>
      </c>
    </row>
    <row r="6" spans="2:26" x14ac:dyDescent="0.25">
      <c r="B6" s="10" t="s">
        <v>83</v>
      </c>
      <c r="C6" s="11"/>
      <c r="D6" s="2">
        <f>RTD("gartle.rtd",,"YahooFinanceHistoricalData",Table4[Symbol],Table4[Date],"Date")</f>
        <v>41942</v>
      </c>
      <c r="E6" s="4">
        <f>RTD("gartle.rtd",,"YahooFinanceHistoricalData",Table4[Symbol],Table4[Date],"Open")</f>
        <v>548.95000000000005</v>
      </c>
      <c r="F6" s="4">
        <f>RTD("gartle.rtd",,"YahooFinanceHistoricalData",Table4[Symbol],Table4[Date],"High")</f>
        <v>552.79999999999995</v>
      </c>
      <c r="G6" s="4">
        <f>RTD("gartle.rtd",,"YahooFinanceHistoricalData",Table4[Symbol],Table4[Date],"Low")</f>
        <v>543.51</v>
      </c>
      <c r="H6" s="4">
        <f>RTD("gartle.rtd",,"YahooFinanceHistoricalData",Table4[Symbol],Table4[Date],"Close")</f>
        <v>550.30999999999995</v>
      </c>
      <c r="I6" s="6">
        <f>RTD("gartle.rtd",,"YahooFinanceHistoricalData",Table4[Symbol],Table4[Date],"Change")</f>
        <v>0.9799999999999045</v>
      </c>
      <c r="J6" s="7">
        <f>RTD("gartle.rtd",,"YahooFinanceHistoricalData",Table4[Symbol],Table4[Date],"ChangeInPercent")</f>
        <v>1.7839914077146801E-3</v>
      </c>
      <c r="K6" s="4">
        <f>RTD("gartle.rtd",,"YahooFinanceHistoricalData",Table4[Symbol],Table4[Date],"AdjClose")</f>
        <v>550.30999999999995</v>
      </c>
      <c r="L6" s="6">
        <f>RTD("gartle.rtd",,"YahooFinanceHistoricalData",Table4[Symbol],Table4[Date],"AdjChange")</f>
        <v>0.9799999999999045</v>
      </c>
      <c r="M6" s="7">
        <f>RTD("gartle.rtd",,"YahooFinanceHistoricalData",Table4[Symbol],Table4[Date],"AdjChangeInPercent")</f>
        <v>1.7839914077146801E-3</v>
      </c>
      <c r="N6" s="8">
        <f>RTD("gartle.rtd",,"YahooFinanceHistoricalData",Table4[Symbol],Table4[Date],"Volume")</f>
        <v>1451500</v>
      </c>
      <c r="O6" s="2">
        <f>RTD("gartle.rtd",,"YahooFinanceHistoricalData",Table4[Symbol],Table4[Date],"PrevDate")</f>
        <v>41941</v>
      </c>
      <c r="P6" s="4">
        <f>RTD("gartle.rtd",,"YahooFinanceHistoricalData",Table4[Symbol],Table4[Date],"PrevOpen")</f>
        <v>550</v>
      </c>
      <c r="Q6" s="4">
        <f>RTD("gartle.rtd",,"YahooFinanceHistoricalData",Table4[Symbol],Table4[Date],"PrevHigh")</f>
        <v>554.19000000000005</v>
      </c>
      <c r="R6" s="4">
        <f>RTD("gartle.rtd",,"YahooFinanceHistoricalData",Table4[Symbol],Table4[Date],"PrevLow")</f>
        <v>546.98</v>
      </c>
      <c r="S6" s="4">
        <f>RTD("gartle.rtd",,"YahooFinanceHistoricalData",Table4[Symbol],Table4[Date],"PrevClose")</f>
        <v>549.33000000000004</v>
      </c>
      <c r="T6" s="4">
        <f>RTD("gartle.rtd",,"YahooFinanceHistoricalData",Table4[Symbol],Table4[Date],"PrevAdjClose")</f>
        <v>549.33000000000004</v>
      </c>
      <c r="U6" s="8">
        <f>RTD("gartle.rtd",,"YahooFinanceHistoricalData",Table4[Symbol],Table4[Date],"PrevVolume")</f>
        <v>1765700</v>
      </c>
      <c r="V6">
        <f>RTD("gartle.rtd",,"YahooFinanceHistoricalData",Table4[Symbol],Table4[Date],"rtd_LastError")</f>
        <v>0</v>
      </c>
      <c r="W6" t="str">
        <f>RTD("gartle.rtd",,"YahooFinanceHistoricalData",Table4[Symbol],Table4[Date],"rtd_LastMessage")</f>
        <v/>
      </c>
      <c r="X6" s="9">
        <f>RTD("gartle.rtd",,"YahooFinanceHistoricalData",Table4[Symbol],Table4[Date],"rtd_LastUpdate")</f>
        <v>41943.638364282408</v>
      </c>
      <c r="Y6" s="2">
        <f>RTD("gartle.rtd",,"YahooFinanceHistoricalData",Table4[Symbol],Table4[Date],"rtd_LastUpdateDate")</f>
        <v>41943</v>
      </c>
      <c r="Z6" s="3">
        <f>RTD("gartle.rtd",,"YahooFinanceHistoricalData",Table4[Symbol],Table4[Date],"rtd_LastUpdateTime")</f>
        <v>0.63836428240740739</v>
      </c>
    </row>
    <row r="7" spans="2:26" x14ac:dyDescent="0.25">
      <c r="B7" s="10" t="s">
        <v>87</v>
      </c>
      <c r="C7" s="11"/>
      <c r="D7" s="2">
        <f>RTD("gartle.rtd",,"YahooFinanceHistoricalData",Table4[Symbol],Table4[Date],"Date")</f>
        <v>41942</v>
      </c>
      <c r="E7" s="4">
        <f>RTD("gartle.rtd",,"YahooFinanceHistoricalData",Table4[Symbol],Table4[Date],"Open")</f>
        <v>198.46</v>
      </c>
      <c r="F7" s="4">
        <f>RTD("gartle.rtd",,"YahooFinanceHistoricalData",Table4[Symbol],Table4[Date],"High")</f>
        <v>203.74</v>
      </c>
      <c r="G7" s="4">
        <f>RTD("gartle.rtd",,"YahooFinanceHistoricalData",Table4[Symbol],Table4[Date],"Low")</f>
        <v>195.5</v>
      </c>
      <c r="H7" s="4">
        <f>RTD("gartle.rtd",,"YahooFinanceHistoricalData",Table4[Symbol],Table4[Date],"Close")</f>
        <v>202.9</v>
      </c>
      <c r="I7" s="6">
        <f>RTD("gartle.rtd",,"YahooFinanceHistoricalData",Table4[Symbol],Table4[Date],"Change")</f>
        <v>3.3900000000000148</v>
      </c>
      <c r="J7" s="7">
        <f>RTD("gartle.rtd",,"YahooFinanceHistoricalData",Table4[Symbol],Table4[Date],"ChangeInPercent")</f>
        <v>1.6991629492256077E-2</v>
      </c>
      <c r="K7" s="4">
        <f>RTD("gartle.rtd",,"YahooFinanceHistoricalData",Table4[Symbol],Table4[Date],"AdjClose")</f>
        <v>202.9</v>
      </c>
      <c r="L7" s="6">
        <f>RTD("gartle.rtd",,"YahooFinanceHistoricalData",Table4[Symbol],Table4[Date],"AdjChange")</f>
        <v>3.3900000000000148</v>
      </c>
      <c r="M7" s="7">
        <f>RTD("gartle.rtd",,"YahooFinanceHistoricalData",Table4[Symbol],Table4[Date],"AdjChangeInPercent")</f>
        <v>1.6991629492256077E-2</v>
      </c>
      <c r="N7" s="8">
        <f>RTD("gartle.rtd",,"YahooFinanceHistoricalData",Table4[Symbol],Table4[Date],"Volume")</f>
        <v>4290800</v>
      </c>
      <c r="O7" s="2">
        <f>RTD("gartle.rtd",,"YahooFinanceHistoricalData",Table4[Symbol],Table4[Date],"PrevDate")</f>
        <v>41941</v>
      </c>
      <c r="P7" s="4">
        <f>RTD("gartle.rtd",,"YahooFinanceHistoricalData",Table4[Symbol],Table4[Date],"PrevOpen")</f>
        <v>202.99</v>
      </c>
      <c r="Q7" s="4">
        <f>RTD("gartle.rtd",,"YahooFinanceHistoricalData",Table4[Symbol],Table4[Date],"PrevHigh")</f>
        <v>202.99</v>
      </c>
      <c r="R7" s="4">
        <f>RTD("gartle.rtd",,"YahooFinanceHistoricalData",Table4[Symbol],Table4[Date],"PrevLow")</f>
        <v>197.12</v>
      </c>
      <c r="S7" s="4">
        <f>RTD("gartle.rtd",,"YahooFinanceHistoricalData",Table4[Symbol],Table4[Date],"PrevClose")</f>
        <v>199.51</v>
      </c>
      <c r="T7" s="4">
        <f>RTD("gartle.rtd",,"YahooFinanceHistoricalData",Table4[Symbol],Table4[Date],"PrevAdjClose")</f>
        <v>199.51</v>
      </c>
      <c r="U7" s="8">
        <f>RTD("gartle.rtd",,"YahooFinanceHistoricalData",Table4[Symbol],Table4[Date],"PrevVolume")</f>
        <v>1742500</v>
      </c>
      <c r="V7">
        <f>RTD("gartle.rtd",,"YahooFinanceHistoricalData",Table4[Symbol],Table4[Date],"rtd_LastError")</f>
        <v>0</v>
      </c>
      <c r="W7" t="str">
        <f>RTD("gartle.rtd",,"YahooFinanceHistoricalData",Table4[Symbol],Table4[Date],"rtd_LastMessage")</f>
        <v/>
      </c>
      <c r="X7" s="9">
        <f>RTD("gartle.rtd",,"YahooFinanceHistoricalData",Table4[Symbol],Table4[Date],"rtd_LastUpdate")</f>
        <v>41943.638349479166</v>
      </c>
      <c r="Y7" s="2">
        <f>RTD("gartle.rtd",,"YahooFinanceHistoricalData",Table4[Symbol],Table4[Date],"rtd_LastUpdateDate")</f>
        <v>41943</v>
      </c>
      <c r="Z7" s="3">
        <f>RTD("gartle.rtd",,"YahooFinanceHistoricalData",Table4[Symbol],Table4[Date],"rtd_LastUpdateTime")</f>
        <v>0.63834947916666662</v>
      </c>
    </row>
    <row r="8" spans="2:26" x14ac:dyDescent="0.25">
      <c r="B8" s="10" t="s">
        <v>84</v>
      </c>
      <c r="C8" s="11"/>
      <c r="D8" s="2">
        <f>RTD("gartle.rtd",,"YahooFinanceHistoricalData",Table4[Symbol],Table4[Date],"Date")</f>
        <v>41942</v>
      </c>
      <c r="E8" s="4">
        <f>RTD("gartle.rtd",,"YahooFinanceHistoricalData",Table4[Symbol],Table4[Date],"Open")</f>
        <v>46.32</v>
      </c>
      <c r="F8" s="4">
        <f>RTD("gartle.rtd",,"YahooFinanceHistoricalData",Table4[Symbol],Table4[Date],"High")</f>
        <v>46.32</v>
      </c>
      <c r="G8" s="4">
        <f>RTD("gartle.rtd",,"YahooFinanceHistoricalData",Table4[Symbol],Table4[Date],"Low")</f>
        <v>45.77</v>
      </c>
      <c r="H8" s="4">
        <f>RTD("gartle.rtd",,"YahooFinanceHistoricalData",Table4[Symbol],Table4[Date],"Close")</f>
        <v>46.05</v>
      </c>
      <c r="I8" s="6">
        <f>RTD("gartle.rtd",,"YahooFinanceHistoricalData",Table4[Symbol],Table4[Date],"Change")</f>
        <v>-0.57000000000000028</v>
      </c>
      <c r="J8" s="7">
        <f>RTD("gartle.rtd",,"YahooFinanceHistoricalData",Table4[Symbol],Table4[Date],"ChangeInPercent")</f>
        <v>-1.2226512226512276E-2</v>
      </c>
      <c r="K8" s="4">
        <f>RTD("gartle.rtd",,"YahooFinanceHistoricalData",Table4[Symbol],Table4[Date],"AdjClose")</f>
        <v>46.05</v>
      </c>
      <c r="L8" s="6">
        <f>RTD("gartle.rtd",,"YahooFinanceHistoricalData",Table4[Symbol],Table4[Date],"AdjChange")</f>
        <v>-0.57000000000000028</v>
      </c>
      <c r="M8" s="7">
        <f>RTD("gartle.rtd",,"YahooFinanceHistoricalData",Table4[Symbol],Table4[Date],"AdjChangeInPercent")</f>
        <v>-1.2226512226512276E-2</v>
      </c>
      <c r="N8" s="8">
        <f>RTD("gartle.rtd",,"YahooFinanceHistoricalData",Table4[Symbol],Table4[Date],"Volume")</f>
        <v>30043400</v>
      </c>
      <c r="O8" s="2">
        <f>RTD("gartle.rtd",,"YahooFinanceHistoricalData",Table4[Symbol],Table4[Date],"PrevDate")</f>
        <v>41941</v>
      </c>
      <c r="P8" s="4">
        <f>RTD("gartle.rtd",,"YahooFinanceHistoricalData",Table4[Symbol],Table4[Date],"PrevOpen")</f>
        <v>46.44</v>
      </c>
      <c r="Q8" s="4">
        <f>RTD("gartle.rtd",,"YahooFinanceHistoricalData",Table4[Symbol],Table4[Date],"PrevHigh")</f>
        <v>46.7</v>
      </c>
      <c r="R8" s="4">
        <f>RTD("gartle.rtd",,"YahooFinanceHistoricalData",Table4[Symbol],Table4[Date],"PrevLow")</f>
        <v>46.34</v>
      </c>
      <c r="S8" s="4">
        <f>RTD("gartle.rtd",,"YahooFinanceHistoricalData",Table4[Symbol],Table4[Date],"PrevClose")</f>
        <v>46.62</v>
      </c>
      <c r="T8" s="4">
        <f>RTD("gartle.rtd",,"YahooFinanceHistoricalData",Table4[Symbol],Table4[Date],"PrevAdjClose")</f>
        <v>46.62</v>
      </c>
      <c r="U8" s="8">
        <f>RTD("gartle.rtd",,"YahooFinanceHistoricalData",Table4[Symbol],Table4[Date],"PrevVolume")</f>
        <v>30276100</v>
      </c>
      <c r="V8">
        <f>RTD("gartle.rtd",,"YahooFinanceHistoricalData",Table4[Symbol],Table4[Date],"rtd_LastError")</f>
        <v>0</v>
      </c>
      <c r="W8" t="str">
        <f>RTD("gartle.rtd",,"YahooFinanceHistoricalData",Table4[Symbol],Table4[Date],"rtd_LastMessage")</f>
        <v/>
      </c>
      <c r="X8" s="9">
        <f>RTD("gartle.rtd",,"YahooFinanceHistoricalData",Table4[Symbol],Table4[Date],"rtd_LastUpdate")</f>
        <v>41943.638334317133</v>
      </c>
      <c r="Y8" s="2">
        <f>RTD("gartle.rtd",,"YahooFinanceHistoricalData",Table4[Symbol],Table4[Date],"rtd_LastUpdateDate")</f>
        <v>41943</v>
      </c>
      <c r="Z8" s="3">
        <f>RTD("gartle.rtd",,"YahooFinanceHistoricalData",Table4[Symbol],Table4[Date],"rtd_LastUpdateTime")</f>
        <v>0.63833431712962962</v>
      </c>
    </row>
    <row r="9" spans="2:26" x14ac:dyDescent="0.25">
      <c r="B9" s="10" t="s">
        <v>85</v>
      </c>
      <c r="C9" s="11"/>
      <c r="D9" s="2">
        <f>RTD("gartle.rtd",,"YahooFinanceHistoricalData",Table4[Symbol],Table4[Date],"Date")</f>
        <v>41942</v>
      </c>
      <c r="E9" s="4">
        <f>RTD("gartle.rtd",,"YahooFinanceHistoricalData",Table4[Symbol],Table4[Date],"Open")</f>
        <v>38.4</v>
      </c>
      <c r="F9" s="4">
        <f>RTD("gartle.rtd",,"YahooFinanceHistoricalData",Table4[Symbol],Table4[Date],"High")</f>
        <v>38.659999999999997</v>
      </c>
      <c r="G9" s="4">
        <f>RTD("gartle.rtd",,"YahooFinanceHistoricalData",Table4[Symbol],Table4[Date],"Low")</f>
        <v>38.39</v>
      </c>
      <c r="H9" s="4">
        <f>RTD("gartle.rtd",,"YahooFinanceHistoricalData",Table4[Symbol],Table4[Date],"Close")</f>
        <v>38.5</v>
      </c>
      <c r="I9" s="6">
        <f>RTD("gartle.rtd",,"YahooFinanceHistoricalData",Table4[Symbol],Table4[Date],"Change")</f>
        <v>-7.9999999999998295E-2</v>
      </c>
      <c r="J9" s="7">
        <f>RTD("gartle.rtd",,"YahooFinanceHistoricalData",Table4[Symbol],Table4[Date],"ChangeInPercent")</f>
        <v>-2.0736132711248745E-3</v>
      </c>
      <c r="K9" s="4">
        <f>RTD("gartle.rtd",,"YahooFinanceHistoricalData",Table4[Symbol],Table4[Date],"AdjClose")</f>
        <v>38.5</v>
      </c>
      <c r="L9" s="6">
        <f>RTD("gartle.rtd",,"YahooFinanceHistoricalData",Table4[Symbol],Table4[Date],"AdjChange")</f>
        <v>-7.9999999999998295E-2</v>
      </c>
      <c r="M9" s="7">
        <f>RTD("gartle.rtd",,"YahooFinanceHistoricalData",Table4[Symbol],Table4[Date],"AdjChangeInPercent")</f>
        <v>-2.0736132711248745E-3</v>
      </c>
      <c r="N9" s="8">
        <f>RTD("gartle.rtd",,"YahooFinanceHistoricalData",Table4[Symbol],Table4[Date],"Volume")</f>
        <v>9644200</v>
      </c>
      <c r="O9" s="2">
        <f>RTD("gartle.rtd",,"YahooFinanceHistoricalData",Table4[Symbol],Table4[Date],"PrevDate")</f>
        <v>41941</v>
      </c>
      <c r="P9" s="4">
        <f>RTD("gartle.rtd",,"YahooFinanceHistoricalData",Table4[Symbol],Table4[Date],"PrevOpen")</f>
        <v>38.729999999999997</v>
      </c>
      <c r="Q9" s="4">
        <f>RTD("gartle.rtd",,"YahooFinanceHistoricalData",Table4[Symbol],Table4[Date],"PrevHigh")</f>
        <v>38.74</v>
      </c>
      <c r="R9" s="4">
        <f>RTD("gartle.rtd",,"YahooFinanceHistoricalData",Table4[Symbol],Table4[Date],"PrevLow")</f>
        <v>38.46</v>
      </c>
      <c r="S9" s="4">
        <f>RTD("gartle.rtd",,"YahooFinanceHistoricalData",Table4[Symbol],Table4[Date],"PrevClose")</f>
        <v>38.58</v>
      </c>
      <c r="T9" s="4">
        <f>RTD("gartle.rtd",,"YahooFinanceHistoricalData",Table4[Symbol],Table4[Date],"PrevAdjClose")</f>
        <v>38.58</v>
      </c>
      <c r="U9" s="8">
        <f>RTD("gartle.rtd",,"YahooFinanceHistoricalData",Table4[Symbol],Table4[Date],"PrevVolume")</f>
        <v>10923800</v>
      </c>
      <c r="V9">
        <f>RTD("gartle.rtd",,"YahooFinanceHistoricalData",Table4[Symbol],Table4[Date],"rtd_LastError")</f>
        <v>0</v>
      </c>
      <c r="W9" t="str">
        <f>RTD("gartle.rtd",,"YahooFinanceHistoricalData",Table4[Symbol],Table4[Date],"rtd_LastMessage")</f>
        <v/>
      </c>
      <c r="X9" s="9">
        <f>RTD("gartle.rtd",,"YahooFinanceHistoricalData",Table4[Symbol],Table4[Date],"rtd_LastUpdate")</f>
        <v>41943.638318240737</v>
      </c>
      <c r="Y9" s="2">
        <f>RTD("gartle.rtd",,"YahooFinanceHistoricalData",Table4[Symbol],Table4[Date],"rtd_LastUpdateDate")</f>
        <v>41943</v>
      </c>
      <c r="Z9" s="3">
        <f>RTD("gartle.rtd",,"YahooFinanceHistoricalData",Table4[Symbol],Table4[Date],"rtd_LastUpdateTime")</f>
        <v>0.63831824074074073</v>
      </c>
    </row>
    <row r="10" spans="2:26" x14ac:dyDescent="0.25">
      <c r="B10" s="10" t="s">
        <v>88</v>
      </c>
      <c r="C10" s="11"/>
      <c r="D10" s="2">
        <f>RTD("gartle.rtd",,"YahooFinanceHistoricalData",Table4[Symbol],Table4[Date],"Date")</f>
        <v>41942</v>
      </c>
      <c r="E10" s="4">
        <f>RTD("gartle.rtd",,"YahooFinanceHistoricalData",Table4[Symbol],Table4[Date],"Open")</f>
        <v>45.21</v>
      </c>
      <c r="F10" s="4">
        <f>RTD("gartle.rtd",,"YahooFinanceHistoricalData",Table4[Symbol],Table4[Date],"High")</f>
        <v>45.84</v>
      </c>
      <c r="G10" s="4">
        <f>RTD("gartle.rtd",,"YahooFinanceHistoricalData",Table4[Symbol],Table4[Date],"Low")</f>
        <v>45.13</v>
      </c>
      <c r="H10" s="4">
        <f>RTD("gartle.rtd",,"YahooFinanceHistoricalData",Table4[Symbol],Table4[Date],"Close")</f>
        <v>45.63</v>
      </c>
      <c r="I10" s="6">
        <f>RTD("gartle.rtd",,"YahooFinanceHistoricalData",Table4[Symbol],Table4[Date],"Change")</f>
        <v>0.20000000000000284</v>
      </c>
      <c r="J10" s="7">
        <f>RTD("gartle.rtd",,"YahooFinanceHistoricalData",Table4[Symbol],Table4[Date],"ChangeInPercent")</f>
        <v>4.402377283733383E-3</v>
      </c>
      <c r="K10" s="4">
        <f>RTD("gartle.rtd",,"YahooFinanceHistoricalData",Table4[Symbol],Table4[Date],"AdjClose")</f>
        <v>45.63</v>
      </c>
      <c r="L10" s="6">
        <f>RTD("gartle.rtd",,"YahooFinanceHistoricalData",Table4[Symbol],Table4[Date],"AdjChange")</f>
        <v>0.20000000000000284</v>
      </c>
      <c r="M10" s="7">
        <f>RTD("gartle.rtd",,"YahooFinanceHistoricalData",Table4[Symbol],Table4[Date],"AdjChangeInPercent")</f>
        <v>4.402377283733383E-3</v>
      </c>
      <c r="N10" s="8">
        <f>RTD("gartle.rtd",,"YahooFinanceHistoricalData",Table4[Symbol],Table4[Date],"Volume")</f>
        <v>16205500</v>
      </c>
      <c r="O10" s="2">
        <f>RTD("gartle.rtd",,"YahooFinanceHistoricalData",Table4[Symbol],Table4[Date],"PrevDate")</f>
        <v>41941</v>
      </c>
      <c r="P10" s="4">
        <f>RTD("gartle.rtd",,"YahooFinanceHistoricalData",Table4[Symbol],Table4[Date],"PrevOpen")</f>
        <v>45.94</v>
      </c>
      <c r="Q10" s="4">
        <f>RTD("gartle.rtd",,"YahooFinanceHistoricalData",Table4[Symbol],Table4[Date],"PrevHigh")</f>
        <v>45.98</v>
      </c>
      <c r="R10" s="4">
        <f>RTD("gartle.rtd",,"YahooFinanceHistoricalData",Table4[Symbol],Table4[Date],"PrevLow")</f>
        <v>45.13</v>
      </c>
      <c r="S10" s="4">
        <f>RTD("gartle.rtd",,"YahooFinanceHistoricalData",Table4[Symbol],Table4[Date],"PrevClose")</f>
        <v>45.43</v>
      </c>
      <c r="T10" s="4">
        <f>RTD("gartle.rtd",,"YahooFinanceHistoricalData",Table4[Symbol],Table4[Date],"PrevAdjClose")</f>
        <v>45.43</v>
      </c>
      <c r="U10" s="8">
        <f>RTD("gartle.rtd",,"YahooFinanceHistoricalData",Table4[Symbol],Table4[Date],"PrevVolume")</f>
        <v>25370300</v>
      </c>
      <c r="V10">
        <f>RTD("gartle.rtd",,"YahooFinanceHistoricalData",Table4[Symbol],Table4[Date],"rtd_LastError")</f>
        <v>0</v>
      </c>
      <c r="W10" t="str">
        <f>RTD("gartle.rtd",,"YahooFinanceHistoricalData",Table4[Symbol],Table4[Date],"rtd_LastMessage")</f>
        <v/>
      </c>
      <c r="X10" s="9">
        <f>RTD("gartle.rtd",,"YahooFinanceHistoricalData",Table4[Symbol],Table4[Date],"rtd_LastUpdate")</f>
        <v>41943.638385046295</v>
      </c>
      <c r="Y10" s="2">
        <f>RTD("gartle.rtd",,"YahooFinanceHistoricalData",Table4[Symbol],Table4[Date],"rtd_LastUpdateDate")</f>
        <v>41943</v>
      </c>
      <c r="Z10" s="3">
        <f>RTD("gartle.rtd",,"YahooFinanceHistoricalData",Table4[Symbol],Table4[Date],"rtd_LastUpdateTime")</f>
        <v>0.63838504629629633</v>
      </c>
    </row>
  </sheetData>
  <conditionalFormatting sqref="J4:J10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4:M10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:N10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:U10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37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3:M10"/>
  <sheetViews>
    <sheetView showGridLines="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5" x14ac:dyDescent="0.25"/>
  <cols>
    <col min="1" max="1" width="2.5703125" customWidth="1"/>
    <col min="2" max="2" width="9.85546875" bestFit="1" customWidth="1"/>
    <col min="3" max="3" width="14.7109375" bestFit="1" customWidth="1"/>
    <col min="4" max="4" width="16.140625" bestFit="1" customWidth="1"/>
    <col min="5" max="5" width="28.7109375" bestFit="1" customWidth="1"/>
    <col min="6" max="6" width="18.7109375" bestFit="1" customWidth="1"/>
    <col min="7" max="7" width="10.85546875" customWidth="1"/>
    <col min="8" max="8" width="10.140625" bestFit="1" customWidth="1"/>
    <col min="9" max="9" width="12.28515625" bestFit="1" customWidth="1"/>
    <col min="10" max="10" width="16" bestFit="1" customWidth="1"/>
    <col min="11" max="11" width="17.42578125" bestFit="1" customWidth="1"/>
    <col min="12" max="12" width="19" bestFit="1" customWidth="1"/>
    <col min="13" max="13" width="19.28515625" bestFit="1" customWidth="1"/>
  </cols>
  <sheetData>
    <row r="3" spans="2:13" x14ac:dyDescent="0.25">
      <c r="B3" t="s">
        <v>0</v>
      </c>
      <c r="C3" t="s">
        <v>45</v>
      </c>
      <c r="D3" t="s">
        <v>56</v>
      </c>
      <c r="E3" t="s">
        <v>57</v>
      </c>
      <c r="F3" t="s">
        <v>58</v>
      </c>
      <c r="G3" t="s">
        <v>59</v>
      </c>
      <c r="H3" t="s">
        <v>60</v>
      </c>
      <c r="I3" s="17" t="s">
        <v>49</v>
      </c>
      <c r="J3" t="s">
        <v>50</v>
      </c>
      <c r="K3" s="17" t="s">
        <v>51</v>
      </c>
      <c r="L3" s="17" t="s">
        <v>52</v>
      </c>
      <c r="M3" s="17" t="s">
        <v>53</v>
      </c>
    </row>
    <row r="4" spans="2:13" x14ac:dyDescent="0.25">
      <c r="B4" s="10" t="s">
        <v>54</v>
      </c>
      <c r="C4" t="str">
        <f>RTD("gartle.rtd",,"YahooFinanceStocks",Table3[Symbol],"CompanyName")</f>
        <v/>
      </c>
      <c r="D4" t="str">
        <f>RTD("gartle.rtd",,"YahooFinanceStocks",Table3[Symbol],"Sector")</f>
        <v>Consumer Goods</v>
      </c>
      <c r="E4" t="str">
        <f>RTD("gartle.rtd",,"YahooFinanceStocks",Table3[Symbol],"Industry")</f>
        <v>Electronic Equipment</v>
      </c>
      <c r="F4" s="8">
        <f>IFERROR(RTD("gartle.rtd",,"YahooFinanceStocks",Table3[Symbol],"FullTimeEmployees"),0)</f>
        <v>92600</v>
      </c>
      <c r="G4" s="2">
        <f>IFERROR(RTD("gartle.rtd",,"YahooFinanceStocks",Table3[Symbol],"Start"),"")</f>
        <v>29567</v>
      </c>
      <c r="H4" s="2" t="str">
        <f>IFERROR(RTD("gartle.rtd",,"YahooFinanceStocks",Table3[Symbol],"End"),"")</f>
        <v/>
      </c>
      <c r="I4">
        <f>RTD("gartle.rtd",,"YahooFinanceStocks",Table3[Symbol],"rtd_LastError")</f>
        <v>0</v>
      </c>
      <c r="J4" t="str">
        <f>RTD("gartle.rtd",,"YahooFinanceStocks",Table3[Symbol],"rtd_LastMessage")</f>
        <v/>
      </c>
      <c r="K4" s="9">
        <f>RTD("gartle.rtd",,"YahooFinanceStocks",Table3[Symbol],"rtd_LastUpdate")</f>
        <v>41943.462964467595</v>
      </c>
      <c r="L4" s="2">
        <f>RTD("gartle.rtd",,"YahooFinanceStocks",Table3[Symbol],"rtd_LastUpdateDate")</f>
        <v>41943</v>
      </c>
      <c r="M4" s="3">
        <f>RTD("gartle.rtd",,"YahooFinanceStocks",Table3[Symbol],"rtd_LastUpdateTime")</f>
        <v>0.46296446759259258</v>
      </c>
    </row>
    <row r="5" spans="2:13" x14ac:dyDescent="0.25">
      <c r="B5" s="10" t="s">
        <v>86</v>
      </c>
      <c r="C5" t="str">
        <f>RTD("gartle.rtd",,"YahooFinanceStocks",Table3[Symbol],"CompanyName")</f>
        <v/>
      </c>
      <c r="D5" t="str">
        <f>RTD("gartle.rtd",,"YahooFinanceStocks",Table3[Symbol],"Sector")</f>
        <v>Technology</v>
      </c>
      <c r="E5" t="str">
        <f>RTD("gartle.rtd",,"YahooFinanceStocks",Table3[Symbol],"Industry")</f>
        <v>Internet Information Providers</v>
      </c>
      <c r="F5" s="8">
        <f>IFERROR(RTD("gartle.rtd",,"YahooFinanceStocks",Table3[Symbol],"FullTimeEmployees"),0)</f>
        <v>6337</v>
      </c>
      <c r="G5" s="2">
        <f>IFERROR(RTD("gartle.rtd",,"YahooFinanceStocks",Table3[Symbol],"Start"),"")</f>
        <v>41047</v>
      </c>
      <c r="H5" s="2" t="str">
        <f>IFERROR(RTD("gartle.rtd",,"YahooFinanceStocks",Table3[Symbol],"End"),"")</f>
        <v/>
      </c>
      <c r="I5">
        <f>RTD("gartle.rtd",,"YahooFinanceStocks",Table3[Symbol],"rtd_LastError")</f>
        <v>0</v>
      </c>
      <c r="J5" t="str">
        <f>RTD("gartle.rtd",,"YahooFinanceStocks",Table3[Symbol],"rtd_LastMessage")</f>
        <v/>
      </c>
      <c r="K5" s="9">
        <f>RTD("gartle.rtd",,"YahooFinanceStocks",Table3[Symbol],"rtd_LastUpdate")</f>
        <v>41943.463001655095</v>
      </c>
      <c r="L5" s="2">
        <f>RTD("gartle.rtd",,"YahooFinanceStocks",Table3[Symbol],"rtd_LastUpdateDate")</f>
        <v>41943</v>
      </c>
      <c r="M5" s="3">
        <f>RTD("gartle.rtd",,"YahooFinanceStocks",Table3[Symbol],"rtd_LastUpdateTime")</f>
        <v>0.46300165509259261</v>
      </c>
    </row>
    <row r="6" spans="2:13" x14ac:dyDescent="0.25">
      <c r="B6" s="10" t="s">
        <v>83</v>
      </c>
      <c r="C6" t="str">
        <f>RTD("gartle.rtd",,"YahooFinanceStocks",Table3[Symbol],"CompanyName")</f>
        <v/>
      </c>
      <c r="D6" t="str">
        <f>RTD("gartle.rtd",,"YahooFinanceStocks",Table3[Symbol],"Sector")</f>
        <v>Technology</v>
      </c>
      <c r="E6" t="str">
        <f>RTD("gartle.rtd",,"YahooFinanceStocks",Table3[Symbol],"Industry")</f>
        <v>Internet Information Providers</v>
      </c>
      <c r="F6" s="8">
        <f>IFERROR(RTD("gartle.rtd",,"YahooFinanceStocks",Table3[Symbol],"FullTimeEmployees"),0)</f>
        <v>51564</v>
      </c>
      <c r="G6" s="2">
        <f>IFERROR(RTD("gartle.rtd",,"YahooFinanceStocks",Table3[Symbol],"Start"),"")</f>
        <v>41725</v>
      </c>
      <c r="H6" s="2" t="str">
        <f>IFERROR(RTD("gartle.rtd",,"YahooFinanceStocks",Table3[Symbol],"End"),"")</f>
        <v/>
      </c>
      <c r="I6">
        <f>RTD("gartle.rtd",,"YahooFinanceStocks",Table3[Symbol],"rtd_LastError")</f>
        <v>0</v>
      </c>
      <c r="J6" t="str">
        <f>RTD("gartle.rtd",,"YahooFinanceStocks",Table3[Symbol],"rtd_LastMessage")</f>
        <v/>
      </c>
      <c r="K6" s="9">
        <f>RTD("gartle.rtd",,"YahooFinanceStocks",Table3[Symbol],"rtd_LastUpdate")</f>
        <v>41943.462947488428</v>
      </c>
      <c r="L6" s="2">
        <f>RTD("gartle.rtd",,"YahooFinanceStocks",Table3[Symbol],"rtd_LastUpdateDate")</f>
        <v>41943</v>
      </c>
      <c r="M6" s="3">
        <f>RTD("gartle.rtd",,"YahooFinanceStocks",Table3[Symbol],"rtd_LastUpdateTime")</f>
        <v>0.46294748842592592</v>
      </c>
    </row>
    <row r="7" spans="2:13" x14ac:dyDescent="0.25">
      <c r="B7" s="10" t="s">
        <v>87</v>
      </c>
      <c r="C7" t="str">
        <f>RTD("gartle.rtd",,"YahooFinanceStocks",Table3[Symbol],"CompanyName")</f>
        <v/>
      </c>
      <c r="D7" t="str">
        <f>RTD("gartle.rtd",,"YahooFinanceStocks",Table3[Symbol],"Sector")</f>
        <v>Technology</v>
      </c>
      <c r="E7" t="str">
        <f>RTD("gartle.rtd",,"YahooFinanceStocks",Table3[Symbol],"Industry")</f>
        <v>Internet Information Providers</v>
      </c>
      <c r="F7" s="8">
        <f>IFERROR(RTD("gartle.rtd",,"YahooFinanceStocks",Table3[Symbol],"FullTimeEmployees"),0)</f>
        <v>5758</v>
      </c>
      <c r="G7" s="2">
        <f>IFERROR(RTD("gartle.rtd",,"YahooFinanceStocks",Table3[Symbol],"Start"),"")</f>
        <v>40682</v>
      </c>
      <c r="H7" s="2" t="str">
        <f>IFERROR(RTD("gartle.rtd",,"YahooFinanceStocks",Table3[Symbol],"End"),"")</f>
        <v/>
      </c>
      <c r="I7">
        <f>RTD("gartle.rtd",,"YahooFinanceStocks",Table3[Symbol],"rtd_LastError")</f>
        <v>0</v>
      </c>
      <c r="J7" t="str">
        <f>RTD("gartle.rtd",,"YahooFinanceStocks",Table3[Symbol],"rtd_LastMessage")</f>
        <v/>
      </c>
      <c r="K7" s="9">
        <f>RTD("gartle.rtd",,"YahooFinanceStocks",Table3[Symbol],"rtd_LastUpdate")</f>
        <v>41943.46292726852</v>
      </c>
      <c r="L7" s="2">
        <f>RTD("gartle.rtd",,"YahooFinanceStocks",Table3[Symbol],"rtd_LastUpdateDate")</f>
        <v>41943</v>
      </c>
      <c r="M7" s="3">
        <f>RTD("gartle.rtd",,"YahooFinanceStocks",Table3[Symbol],"rtd_LastUpdateTime")</f>
        <v>0.46292726851851851</v>
      </c>
    </row>
    <row r="8" spans="2:13" x14ac:dyDescent="0.25">
      <c r="B8" s="10" t="s">
        <v>84</v>
      </c>
      <c r="C8" t="str">
        <f>RTD("gartle.rtd",,"YahooFinanceStocks",Table3[Symbol],"CompanyName")</f>
        <v/>
      </c>
      <c r="D8" t="str">
        <f>RTD("gartle.rtd",,"YahooFinanceStocks",Table3[Symbol],"Sector")</f>
        <v>Technology</v>
      </c>
      <c r="E8" t="str">
        <f>RTD("gartle.rtd",,"YahooFinanceStocks",Table3[Symbol],"Industry")</f>
        <v>Business Software &amp; Services</v>
      </c>
      <c r="F8" s="8">
        <f>IFERROR(RTD("gartle.rtd",,"YahooFinanceStocks",Table3[Symbol],"FullTimeEmployees"),0)</f>
        <v>128000</v>
      </c>
      <c r="G8" s="2">
        <f>IFERROR(RTD("gartle.rtd",,"YahooFinanceStocks",Table3[Symbol],"Start"),"")</f>
        <v>31484</v>
      </c>
      <c r="H8" s="2" t="str">
        <f>IFERROR(RTD("gartle.rtd",,"YahooFinanceStocks",Table3[Symbol],"End"),"")</f>
        <v/>
      </c>
      <c r="I8">
        <f>RTD("gartle.rtd",,"YahooFinanceStocks",Table3[Symbol],"rtd_LastError")</f>
        <v>0</v>
      </c>
      <c r="J8" t="str">
        <f>RTD("gartle.rtd",,"YahooFinanceStocks",Table3[Symbol],"rtd_LastMessage")</f>
        <v/>
      </c>
      <c r="K8" s="9">
        <f>RTD("gartle.rtd",,"YahooFinanceStocks",Table3[Symbol],"rtd_LastUpdate")</f>
        <v>41943.462874004632</v>
      </c>
      <c r="L8" s="2">
        <f>RTD("gartle.rtd",,"YahooFinanceStocks",Table3[Symbol],"rtd_LastUpdateDate")</f>
        <v>41943</v>
      </c>
      <c r="M8" s="3">
        <f>RTD("gartle.rtd",,"YahooFinanceStocks",Table3[Symbol],"rtd_LastUpdateTime")</f>
        <v>0.46287400462962963</v>
      </c>
    </row>
    <row r="9" spans="2:13" x14ac:dyDescent="0.25">
      <c r="B9" s="10" t="s">
        <v>85</v>
      </c>
      <c r="C9" t="str">
        <f>RTD("gartle.rtd",,"YahooFinanceStocks",Table3[Symbol],"CompanyName")</f>
        <v/>
      </c>
      <c r="D9" t="str">
        <f>RTD("gartle.rtd",,"YahooFinanceStocks",Table3[Symbol],"Sector")</f>
        <v>Technology</v>
      </c>
      <c r="E9" t="str">
        <f>RTD("gartle.rtd",,"YahooFinanceStocks",Table3[Symbol],"Industry")</f>
        <v>Application Software</v>
      </c>
      <c r="F9" s="8">
        <f>IFERROR(RTD("gartle.rtd",,"YahooFinanceStocks",Table3[Symbol],"FullTimeEmployees"),0)</f>
        <v>122000</v>
      </c>
      <c r="G9" s="2">
        <f>IFERROR(RTD("gartle.rtd",,"YahooFinanceStocks",Table3[Symbol],"Start"),"")</f>
        <v>31483</v>
      </c>
      <c r="H9" s="2" t="str">
        <f>IFERROR(RTD("gartle.rtd",,"YahooFinanceStocks",Table3[Symbol],"End"),"")</f>
        <v/>
      </c>
      <c r="I9">
        <f>RTD("gartle.rtd",,"YahooFinanceStocks",Table3[Symbol],"rtd_LastError")</f>
        <v>0</v>
      </c>
      <c r="J9" t="str">
        <f>RTD("gartle.rtd",,"YahooFinanceStocks",Table3[Symbol],"rtd_LastMessage")</f>
        <v/>
      </c>
      <c r="K9" s="9">
        <f>RTD("gartle.rtd",,"YahooFinanceStocks",Table3[Symbol],"rtd_LastUpdate")</f>
        <v>41943.462893148149</v>
      </c>
      <c r="L9" s="2">
        <f>RTD("gartle.rtd",,"YahooFinanceStocks",Table3[Symbol],"rtd_LastUpdateDate")</f>
        <v>41943</v>
      </c>
      <c r="M9" s="3">
        <f>RTD("gartle.rtd",,"YahooFinanceStocks",Table3[Symbol],"rtd_LastUpdateTime")</f>
        <v>0.46289314814814814</v>
      </c>
    </row>
    <row r="10" spans="2:13" x14ac:dyDescent="0.25">
      <c r="B10" s="10" t="s">
        <v>88</v>
      </c>
      <c r="C10" t="str">
        <f>RTD("gartle.rtd",,"YahooFinanceStocks",Table3[Symbol],"CompanyName")</f>
        <v/>
      </c>
      <c r="D10" t="str">
        <f>RTD("gartle.rtd",,"YahooFinanceStocks",Table3[Symbol],"Sector")</f>
        <v>Technology</v>
      </c>
      <c r="E10" t="str">
        <f>RTD("gartle.rtd",,"YahooFinanceStocks",Table3[Symbol],"Industry")</f>
        <v>Internet Information Providers</v>
      </c>
      <c r="F10" s="8">
        <f>IFERROR(RTD("gartle.rtd",,"YahooFinanceStocks",Table3[Symbol],"FullTimeEmployees"),0)</f>
        <v>12200</v>
      </c>
      <c r="G10" s="2">
        <f>IFERROR(RTD("gartle.rtd",,"YahooFinanceStocks",Table3[Symbol],"Start"),"")</f>
        <v>35167</v>
      </c>
      <c r="H10" s="2" t="str">
        <f>IFERROR(RTD("gartle.rtd",,"YahooFinanceStocks",Table3[Symbol],"End"),"")</f>
        <v/>
      </c>
      <c r="I10">
        <f>RTD("gartle.rtd",,"YahooFinanceStocks",Table3[Symbol],"rtd_LastError")</f>
        <v>0</v>
      </c>
      <c r="J10" t="str">
        <f>RTD("gartle.rtd",,"YahooFinanceStocks",Table3[Symbol],"rtd_LastMessage")</f>
        <v/>
      </c>
      <c r="K10" s="9">
        <f>RTD("gartle.rtd",,"YahooFinanceStocks",Table3[Symbol],"rtd_LastUpdate")</f>
        <v>41943.46291047454</v>
      </c>
      <c r="L10" s="2">
        <f>RTD("gartle.rtd",,"YahooFinanceStocks",Table3[Symbol],"rtd_LastUpdateDate")</f>
        <v>41943</v>
      </c>
      <c r="M10" s="3">
        <f>RTD("gartle.rtd",,"YahooFinanceStocks",Table3[Symbol],"rtd_LastUpdateTime")</f>
        <v>0.46291047453703704</v>
      </c>
    </row>
  </sheetData>
  <conditionalFormatting sqref="F4:F10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7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3:U7"/>
  <sheetViews>
    <sheetView showGridLines="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4" sqref="B4"/>
    </sheetView>
  </sheetViews>
  <sheetFormatPr defaultRowHeight="15" x14ac:dyDescent="0.25"/>
  <cols>
    <col min="1" max="1" width="2.5703125" customWidth="1"/>
    <col min="2" max="3" width="21" bestFit="1" customWidth="1"/>
    <col min="4" max="4" width="7.5703125" bestFit="1" customWidth="1"/>
    <col min="5" max="5" width="13.85546875" bestFit="1" customWidth="1"/>
    <col min="6" max="6" width="10.140625" bestFit="1" customWidth="1"/>
    <col min="7" max="7" width="6.140625" bestFit="1" customWidth="1"/>
    <col min="8" max="8" width="5.28515625" bestFit="1" customWidth="1"/>
    <col min="9" max="9" width="7.5703125" customWidth="1"/>
    <col min="10" max="10" width="7.5703125" bestFit="1" customWidth="1"/>
    <col min="11" max="11" width="14.5703125" bestFit="1" customWidth="1"/>
    <col min="12" max="14" width="6.85546875" customWidth="1"/>
    <col min="15" max="15" width="8" bestFit="1" customWidth="1"/>
    <col min="16" max="16" width="8.28515625" bestFit="1" customWidth="1"/>
    <col min="17" max="17" width="12.28515625" bestFit="1" customWidth="1"/>
    <col min="18" max="18" width="16" bestFit="1" customWidth="1"/>
    <col min="19" max="19" width="16.42578125" customWidth="1"/>
    <col min="20" max="20" width="19" bestFit="1" customWidth="1"/>
    <col min="21" max="21" width="19.28515625" bestFit="1" customWidth="1"/>
  </cols>
  <sheetData>
    <row r="3" spans="2:21" x14ac:dyDescent="0.25">
      <c r="B3" t="s">
        <v>73</v>
      </c>
      <c r="C3" t="s">
        <v>74</v>
      </c>
      <c r="D3" t="s">
        <v>0</v>
      </c>
      <c r="E3" t="s">
        <v>75</v>
      </c>
      <c r="F3" s="17" t="s">
        <v>76</v>
      </c>
      <c r="G3" s="17" t="s">
        <v>77</v>
      </c>
      <c r="H3" s="19" t="s">
        <v>78</v>
      </c>
      <c r="I3" s="17" t="s">
        <v>3</v>
      </c>
      <c r="J3" s="17" t="s">
        <v>4</v>
      </c>
      <c r="K3" s="17" t="s">
        <v>5</v>
      </c>
      <c r="L3" s="17" t="s">
        <v>79</v>
      </c>
      <c r="M3" s="17" t="s">
        <v>80</v>
      </c>
      <c r="N3" s="17" t="s">
        <v>81</v>
      </c>
      <c r="O3" s="17" t="s">
        <v>9</v>
      </c>
      <c r="P3" s="17" t="s">
        <v>82</v>
      </c>
      <c r="Q3" s="17" t="s">
        <v>49</v>
      </c>
      <c r="R3" t="s">
        <v>50</v>
      </c>
      <c r="S3" s="17" t="s">
        <v>51</v>
      </c>
      <c r="T3" s="17" t="s">
        <v>52</v>
      </c>
      <c r="U3" s="17" t="s">
        <v>53</v>
      </c>
    </row>
    <row r="4" spans="2:21" x14ac:dyDescent="0.25">
      <c r="B4" s="10" t="s">
        <v>106</v>
      </c>
      <c r="C4" t="str">
        <f>RTD("gartle.rtd",,"YahooFinanceOptions",Table5[Code],"OptionCode")</f>
        <v>AAPL150117C00100000</v>
      </c>
      <c r="D4" t="str">
        <f>RTD("gartle.rtd",,"YahooFinanceOptions",Table5[Code],"Symbol")</f>
        <v>AAPL</v>
      </c>
      <c r="E4" t="str">
        <f>RTD("gartle.rtd",,"YahooFinanceOptions",Table5[Code],"OptionSymbol")</f>
        <v>AAPL</v>
      </c>
      <c r="F4" s="2">
        <f>RTD("gartle.rtd",,"YahooFinanceOptions",Table5[Code],"Exp")</f>
        <v>42021</v>
      </c>
      <c r="G4">
        <f>RTD("gartle.rtd",,"YahooFinanceOptions",Table5[Code],"Strike")</f>
        <v>100</v>
      </c>
      <c r="H4" t="str">
        <f>RTD("gartle.rtd",,"YahooFinanceOptions",Table5[Code],"Type")</f>
        <v>CALL</v>
      </c>
      <c r="I4" s="4">
        <f>RTD("gartle.rtd",,"YahooFinanceOptions",Table5[Code],"Last")</f>
        <v>8.75</v>
      </c>
      <c r="J4" s="6">
        <f>RTD("gartle.rtd",,"YahooFinanceOptions",Table5[Code],"Change")</f>
        <v>0.5</v>
      </c>
      <c r="K4" s="7">
        <f>RTD("gartle.rtd",,"YahooFinanceOptions",Table5[Code],"ChangeInPercent")</f>
        <v>6.0606060606060608E-2</v>
      </c>
      <c r="L4" s="4">
        <f>RTD("gartle.rtd",,"YahooFinanceOptions",Table5[Code],"Mark")</f>
        <v>8.75</v>
      </c>
      <c r="M4" s="4">
        <f>RTD("gartle.rtd",,"YahooFinanceOptions",Table5[Code],"Bid")</f>
        <v>8.6999999999999993</v>
      </c>
      <c r="N4" s="4">
        <f>RTD("gartle.rtd",,"YahooFinanceOptions",Table5[Code],"Ask")</f>
        <v>8.8000000000000007</v>
      </c>
      <c r="O4" s="8">
        <f>RTD("gartle.rtd",,"YahooFinanceOptions",Table5[Code],"Volume")</f>
        <v>19599</v>
      </c>
      <c r="P4" s="8">
        <f>RTD("gartle.rtd",,"YahooFinanceOptions",Table5[Code],"OpenInt")</f>
        <v>231977</v>
      </c>
      <c r="Q4">
        <f>RTD("gartle.rtd",,"YahooFinanceOptions",Table5[Code],"rtd_LastError")</f>
        <v>0</v>
      </c>
      <c r="R4" t="str">
        <f>RTD("gartle.rtd",,"YahooFinanceOptions",Table5[Code],"rtd_LastMessage")</f>
        <v/>
      </c>
      <c r="S4" s="9">
        <f>RTD("gartle.rtd",,"YahooFinanceOptions",Table5[Code],"rtd_LastUpdate")</f>
        <v>41943.656792893518</v>
      </c>
      <c r="T4" s="2">
        <f>RTD("gartle.rtd",,"YahooFinanceOptions",Table5[Code],"rtd_LastUpdateDate")</f>
        <v>41943</v>
      </c>
      <c r="U4" s="3">
        <f>RTD("gartle.rtd",,"YahooFinanceOptions",Table5[Code],"rtd_LastUpdateTime")</f>
        <v>0.65679289351851855</v>
      </c>
    </row>
    <row r="5" spans="2:21" x14ac:dyDescent="0.25">
      <c r="B5" s="10" t="s">
        <v>107</v>
      </c>
      <c r="C5" t="str">
        <f>RTD("gartle.rtd",,"YahooFinanceOptions",Table5[Code],"OptionCode")</f>
        <v>AAPL150117C00120000</v>
      </c>
      <c r="D5" t="str">
        <f>RTD("gartle.rtd",,"YahooFinanceOptions",Table5[Code],"Symbol")</f>
        <v>AAPL</v>
      </c>
      <c r="E5" t="str">
        <f>RTD("gartle.rtd",,"YahooFinanceOptions",Table5[Code],"OptionSymbol")</f>
        <v>AAPL</v>
      </c>
      <c r="F5" s="2">
        <f>RTD("gartle.rtd",,"YahooFinanceOptions",Table5[Code],"Exp")</f>
        <v>42021</v>
      </c>
      <c r="G5">
        <f>RTD("gartle.rtd",,"YahooFinanceOptions",Table5[Code],"Strike")</f>
        <v>120</v>
      </c>
      <c r="H5" t="str">
        <f>RTD("gartle.rtd",,"YahooFinanceOptions",Table5[Code],"Type")</f>
        <v>CALL</v>
      </c>
      <c r="I5" s="4">
        <f>RTD("gartle.rtd",,"YahooFinanceOptions",Table5[Code],"Last")</f>
        <v>0.56000000000000005</v>
      </c>
      <c r="J5" s="6">
        <f>RTD("gartle.rtd",,"YahooFinanceOptions",Table5[Code],"Change")</f>
        <v>0.02</v>
      </c>
      <c r="K5" s="7">
        <f>RTD("gartle.rtd",,"YahooFinanceOptions",Table5[Code],"ChangeInPercent")</f>
        <v>3.7037037037037035E-2</v>
      </c>
      <c r="L5" s="4">
        <f>RTD("gartle.rtd",,"YahooFinanceOptions",Table5[Code],"Mark")</f>
        <v>0.56499999999999995</v>
      </c>
      <c r="M5" s="4">
        <f>RTD("gartle.rtd",,"YahooFinanceOptions",Table5[Code],"Bid")</f>
        <v>0.56000000000000005</v>
      </c>
      <c r="N5" s="4">
        <f>RTD("gartle.rtd",,"YahooFinanceOptions",Table5[Code],"Ask")</f>
        <v>0.56999999999999995</v>
      </c>
      <c r="O5" s="8">
        <f>RTD("gartle.rtd",,"YahooFinanceOptions",Table5[Code],"Volume")</f>
        <v>1588</v>
      </c>
      <c r="P5" s="8">
        <f>RTD("gartle.rtd",,"YahooFinanceOptions",Table5[Code],"OpenInt")</f>
        <v>36923</v>
      </c>
      <c r="Q5">
        <f>RTD("gartle.rtd",,"YahooFinanceOptions",Table5[Code],"rtd_LastError")</f>
        <v>0</v>
      </c>
      <c r="R5" t="str">
        <f>RTD("gartle.rtd",,"YahooFinanceOptions",Table5[Code],"rtd_LastMessage")</f>
        <v/>
      </c>
      <c r="S5" s="9">
        <f>RTD("gartle.rtd",,"YahooFinanceOptions",Table5[Code],"rtd_LastUpdate")</f>
        <v>41943.656792893518</v>
      </c>
      <c r="T5" s="2">
        <f>RTD("gartle.rtd",,"YahooFinanceOptions",Table5[Code],"rtd_LastUpdateDate")</f>
        <v>41943</v>
      </c>
      <c r="U5" s="3">
        <f>RTD("gartle.rtd",,"YahooFinanceOptions",Table5[Code],"rtd_LastUpdateTime")</f>
        <v>0.65679289351851855</v>
      </c>
    </row>
    <row r="6" spans="2:21" x14ac:dyDescent="0.25">
      <c r="B6" s="10" t="s">
        <v>108</v>
      </c>
      <c r="C6" t="str">
        <f>RTD("gartle.rtd",,"YahooFinanceOptions",Table5[Code],"OptionCode")</f>
        <v>AAPL160115C00100000</v>
      </c>
      <c r="D6" t="str">
        <f>RTD("gartle.rtd",,"YahooFinanceOptions",Table5[Code],"Symbol")</f>
        <v>AAPL</v>
      </c>
      <c r="E6" t="str">
        <f>RTD("gartle.rtd",,"YahooFinanceOptions",Table5[Code],"OptionSymbol")</f>
        <v>AAPL</v>
      </c>
      <c r="F6" s="2">
        <f>RTD("gartle.rtd",,"YahooFinanceOptions",Table5[Code],"Exp")</f>
        <v>42384</v>
      </c>
      <c r="G6">
        <f>RTD("gartle.rtd",,"YahooFinanceOptions",Table5[Code],"Strike")</f>
        <v>100</v>
      </c>
      <c r="H6" t="str">
        <f>RTD("gartle.rtd",,"YahooFinanceOptions",Table5[Code],"Type")</f>
        <v>CALL</v>
      </c>
      <c r="I6" s="4">
        <f>RTD("gartle.rtd",,"YahooFinanceOptions",Table5[Code],"Last")</f>
        <v>15.86</v>
      </c>
      <c r="J6" s="6">
        <f>RTD("gartle.rtd",,"YahooFinanceOptions",Table5[Code],"Change")</f>
        <v>0.36</v>
      </c>
      <c r="K6" s="7">
        <f>RTD("gartle.rtd",,"YahooFinanceOptions",Table5[Code],"ChangeInPercent")</f>
        <v>2.3225806451612901E-2</v>
      </c>
      <c r="L6" s="4">
        <f>RTD("gartle.rtd",,"YahooFinanceOptions",Table5[Code],"Mark")</f>
        <v>15.85</v>
      </c>
      <c r="M6" s="4">
        <f>RTD("gartle.rtd",,"YahooFinanceOptions",Table5[Code],"Bid")</f>
        <v>15.75</v>
      </c>
      <c r="N6" s="4">
        <f>RTD("gartle.rtd",,"YahooFinanceOptions",Table5[Code],"Ask")</f>
        <v>15.95</v>
      </c>
      <c r="O6" s="8">
        <f>RTD("gartle.rtd",,"YahooFinanceOptions",Table5[Code],"Volume")</f>
        <v>849</v>
      </c>
      <c r="P6" s="8">
        <f>RTD("gartle.rtd",,"YahooFinanceOptions",Table5[Code],"OpenInt")</f>
        <v>108278</v>
      </c>
      <c r="Q6">
        <f>RTD("gartle.rtd",,"YahooFinanceOptions",Table5[Code],"rtd_LastError")</f>
        <v>0</v>
      </c>
      <c r="R6" t="str">
        <f>RTD("gartle.rtd",,"YahooFinanceOptions",Table5[Code],"rtd_LastMessage")</f>
        <v/>
      </c>
      <c r="S6" s="9">
        <f>RTD("gartle.rtd",,"YahooFinanceOptions",Table5[Code],"rtd_LastUpdate")</f>
        <v>41943.656712719909</v>
      </c>
      <c r="T6" s="2">
        <f>RTD("gartle.rtd",,"YahooFinanceOptions",Table5[Code],"rtd_LastUpdateDate")</f>
        <v>41943</v>
      </c>
      <c r="U6" s="3">
        <f>RTD("gartle.rtd",,"YahooFinanceOptions",Table5[Code],"rtd_LastUpdateTime")</f>
        <v>0.65671271990740743</v>
      </c>
    </row>
    <row r="7" spans="2:21" x14ac:dyDescent="0.25">
      <c r="B7" s="10" t="s">
        <v>109</v>
      </c>
      <c r="C7" t="str">
        <f>RTD("gartle.rtd",,"YahooFinanceOptions",Table5[Code],"OptionCode")</f>
        <v>AAPL160115C00120000</v>
      </c>
      <c r="D7" t="str">
        <f>RTD("gartle.rtd",,"YahooFinanceOptions",Table5[Code],"Symbol")</f>
        <v>AAPL</v>
      </c>
      <c r="E7" t="str">
        <f>RTD("gartle.rtd",,"YahooFinanceOptions",Table5[Code],"OptionSymbol")</f>
        <v>AAPL</v>
      </c>
      <c r="F7" s="2">
        <f>RTD("gartle.rtd",,"YahooFinanceOptions",Table5[Code],"Exp")</f>
        <v>42384</v>
      </c>
      <c r="G7">
        <f>RTD("gartle.rtd",,"YahooFinanceOptions",Table5[Code],"Strike")</f>
        <v>120</v>
      </c>
      <c r="H7" t="str">
        <f>RTD("gartle.rtd",,"YahooFinanceOptions",Table5[Code],"Type")</f>
        <v>CALL</v>
      </c>
      <c r="I7" s="4">
        <f>RTD("gartle.rtd",,"YahooFinanceOptions",Table5[Code],"Last")</f>
        <v>7.51</v>
      </c>
      <c r="J7" s="6">
        <f>RTD("gartle.rtd",,"YahooFinanceOptions",Table5[Code],"Change")</f>
        <v>0.31</v>
      </c>
      <c r="K7" s="7">
        <f>RTD("gartle.rtd",,"YahooFinanceOptions",Table5[Code],"ChangeInPercent")</f>
        <v>4.3055555555555555E-2</v>
      </c>
      <c r="L7" s="4">
        <f>RTD("gartle.rtd",,"YahooFinanceOptions",Table5[Code],"Mark")</f>
        <v>7.5</v>
      </c>
      <c r="M7" s="4">
        <f>RTD("gartle.rtd",,"YahooFinanceOptions",Table5[Code],"Bid")</f>
        <v>7.45</v>
      </c>
      <c r="N7" s="4">
        <f>RTD("gartle.rtd",,"YahooFinanceOptions",Table5[Code],"Ask")</f>
        <v>7.55</v>
      </c>
      <c r="O7" s="8">
        <f>RTD("gartle.rtd",,"YahooFinanceOptions",Table5[Code],"Volume")</f>
        <v>1348</v>
      </c>
      <c r="P7" s="8">
        <f>RTD("gartle.rtd",,"YahooFinanceOptions",Table5[Code],"OpenInt")</f>
        <v>25746</v>
      </c>
      <c r="Q7">
        <f>RTD("gartle.rtd",,"YahooFinanceOptions",Table5[Code],"rtd_LastError")</f>
        <v>0</v>
      </c>
      <c r="R7" t="str">
        <f>RTD("gartle.rtd",,"YahooFinanceOptions",Table5[Code],"rtd_LastMessage")</f>
        <v/>
      </c>
      <c r="S7" s="9">
        <f>RTD("gartle.rtd",,"YahooFinanceOptions",Table5[Code],"rtd_LastUpdate")</f>
        <v>41943.656712719909</v>
      </c>
      <c r="T7" s="2">
        <f>RTD("gartle.rtd",,"YahooFinanceOptions",Table5[Code],"rtd_LastUpdateDate")</f>
        <v>41943</v>
      </c>
      <c r="U7" s="3">
        <f>RTD("gartle.rtd",,"YahooFinanceOptions",Table5[Code],"rtd_LastUpdateTime")</f>
        <v>0.65671271990740743</v>
      </c>
    </row>
  </sheetData>
  <conditionalFormatting sqref="K4:K7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4:P7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4:O7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6" orientation="landscape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3:T7"/>
  <sheetViews>
    <sheetView showGridLines="0" workbookViewId="0">
      <pane ySplit="3" topLeftCell="A4" activePane="bottomLeft" state="frozen"/>
      <selection activeCell="F6" sqref="F6"/>
      <selection pane="bottomLeft" activeCell="C4" sqref="C4"/>
    </sheetView>
  </sheetViews>
  <sheetFormatPr defaultRowHeight="15" x14ac:dyDescent="0.25"/>
  <cols>
    <col min="1" max="1" width="2.5703125" customWidth="1"/>
    <col min="2" max="2" width="13.85546875" bestFit="1" customWidth="1"/>
    <col min="3" max="3" width="10.42578125" customWidth="1"/>
    <col min="4" max="4" width="6.140625" bestFit="1" customWidth="1"/>
    <col min="5" max="5" width="5.28515625" bestFit="1" customWidth="1"/>
    <col min="6" max="6" width="21" bestFit="1" customWidth="1"/>
    <col min="7" max="7" width="7.5703125" bestFit="1" customWidth="1"/>
    <col min="8" max="8" width="5.5703125" bestFit="1" customWidth="1"/>
    <col min="9" max="9" width="7.5703125" bestFit="1" customWidth="1"/>
    <col min="10" max="10" width="14.5703125" bestFit="1" customWidth="1"/>
    <col min="11" max="13" width="5.5703125" bestFit="1" customWidth="1"/>
    <col min="14" max="14" width="8" bestFit="1" customWidth="1"/>
    <col min="15" max="15" width="8.28515625" bestFit="1" customWidth="1"/>
    <col min="16" max="16" width="12.28515625" bestFit="1" customWidth="1"/>
    <col min="17" max="17" width="16" bestFit="1" customWidth="1"/>
    <col min="18" max="18" width="16.140625" bestFit="1" customWidth="1"/>
    <col min="19" max="19" width="19" bestFit="1" customWidth="1"/>
    <col min="20" max="20" width="19.28515625" bestFit="1" customWidth="1"/>
  </cols>
  <sheetData>
    <row r="3" spans="2:20" x14ac:dyDescent="0.25">
      <c r="B3" t="s">
        <v>75</v>
      </c>
      <c r="C3" t="s">
        <v>76</v>
      </c>
      <c r="D3" s="17" t="s">
        <v>77</v>
      </c>
      <c r="E3" t="s">
        <v>78</v>
      </c>
      <c r="F3" t="s">
        <v>74</v>
      </c>
      <c r="G3" t="s">
        <v>0</v>
      </c>
      <c r="H3" s="17" t="s">
        <v>3</v>
      </c>
      <c r="I3" s="17" t="s">
        <v>4</v>
      </c>
      <c r="J3" s="17" t="s">
        <v>5</v>
      </c>
      <c r="K3" s="17" t="s">
        <v>79</v>
      </c>
      <c r="L3" s="17" t="s">
        <v>80</v>
      </c>
      <c r="M3" s="17" t="s">
        <v>81</v>
      </c>
      <c r="N3" s="17" t="s">
        <v>9</v>
      </c>
      <c r="O3" s="17" t="s">
        <v>82</v>
      </c>
      <c r="P3" s="17" t="s">
        <v>49</v>
      </c>
      <c r="Q3" t="s">
        <v>50</v>
      </c>
      <c r="R3" s="17" t="s">
        <v>51</v>
      </c>
      <c r="S3" s="17" t="s">
        <v>52</v>
      </c>
      <c r="T3" s="17" t="s">
        <v>53</v>
      </c>
    </row>
    <row r="4" spans="2:20" x14ac:dyDescent="0.25">
      <c r="B4" s="10" t="s">
        <v>54</v>
      </c>
      <c r="C4" s="11">
        <v>42021</v>
      </c>
      <c r="D4" s="10">
        <v>100</v>
      </c>
      <c r="E4" s="10" t="s">
        <v>90</v>
      </c>
      <c r="F4" t="str">
        <f>RTD("gartle.rtd",,"YahooFinanceOptions",Table6[OptionSymbol],Table6[ExpDate],Table6[Strike],Table6[Type],"OptionCode")</f>
        <v>AAPL150117C00100000</v>
      </c>
      <c r="G4" t="str">
        <f>RTD("gartle.rtd",,"YahooFinanceOptions",Table6[OptionSymbol],Table6[ExpDate],Table6[Strike],Table6[Type],"Symbol")</f>
        <v>AAPL</v>
      </c>
      <c r="H4" s="4">
        <f>RTD("gartle.rtd",,"YahooFinanceOptions",Table6[OptionSymbol],Table6[ExpDate],Table6[Strike],Table6[Type],"Last")</f>
        <v>8.75</v>
      </c>
      <c r="I4" s="6">
        <f>RTD("gartle.rtd",,"YahooFinanceOptions",Table6[OptionSymbol],Table6[ExpDate],Table6[Strike],Table6[Type],"Change")</f>
        <v>0.5</v>
      </c>
      <c r="J4" s="7">
        <f>RTD("gartle.rtd",,"YahooFinanceOptions",Table6[OptionSymbol],Table6[ExpDate],Table6[Strike],Table6[Type],"ChangeInPercent")</f>
        <v>6.0606060606060608E-2</v>
      </c>
      <c r="K4" s="4">
        <f>RTD("gartle.rtd",,"YahooFinanceOptions",Table6[OptionSymbol],Table6[ExpDate],Table6[Strike],Table6[Type],"Mark")</f>
        <v>8.75</v>
      </c>
      <c r="L4" s="4">
        <f>RTD("gartle.rtd",,"YahooFinanceOptions",Table6[OptionSymbol],Table6[ExpDate],Table6[Strike],Table6[Type],"Bid")</f>
        <v>8.6999999999999993</v>
      </c>
      <c r="M4" s="4">
        <f>RTD("gartle.rtd",,"YahooFinanceOptions",Table6[OptionSymbol],Table6[ExpDate],Table6[Strike],Table6[Type],"Ask")</f>
        <v>8.8000000000000007</v>
      </c>
      <c r="N4" s="8">
        <f>RTD("gartle.rtd",,"YahooFinanceOptions",Table6[OptionSymbol],Table6[ExpDate],Table6[Strike],Table6[Type],"Volume")</f>
        <v>19599</v>
      </c>
      <c r="O4" s="8">
        <f>RTD("gartle.rtd",,"YahooFinanceOptions",Table6[OptionSymbol],Table6[ExpDate],Table6[Strike],Table6[Type],"OpenInt")</f>
        <v>231977</v>
      </c>
      <c r="P4">
        <f>RTD("gartle.rtd",,"YahooFinanceOptions",Table6[OptionSymbol],Table6[ExpDate],Table6[Strike],Table6[Type],"rtd_LastError")</f>
        <v>0</v>
      </c>
      <c r="Q4" t="str">
        <f>RTD("gartle.rtd",,"YahooFinanceOptions",Table6[OptionSymbol],Table6[ExpDate],Table6[Strike],Table6[Type],"rtd_LastMessage")</f>
        <v/>
      </c>
      <c r="R4" s="9">
        <f>RTD("gartle.rtd",,"YahooFinanceOptions",Table6[OptionSymbol],Table6[ExpDate],Table6[Strike],Table6[Type],"rtd_LastUpdate")</f>
        <v>41943.656792893518</v>
      </c>
      <c r="S4" s="2">
        <f>RTD("gartle.rtd",,"YahooFinanceOptions",Table6[OptionSymbol],Table6[ExpDate],Table6[Strike],Table6[Type],"rtd_LastUpdateDate")</f>
        <v>41943</v>
      </c>
      <c r="T4" s="3">
        <f>RTD("gartle.rtd",,"YahooFinanceOptions",Table6[OptionSymbol],Table6[ExpDate],Table6[Strike],Table6[Type],"rtd_LastUpdateTime")</f>
        <v>0.65679289351851855</v>
      </c>
    </row>
    <row r="5" spans="2:20" x14ac:dyDescent="0.25">
      <c r="B5" s="10" t="s">
        <v>54</v>
      </c>
      <c r="C5" s="11">
        <v>42021</v>
      </c>
      <c r="D5" s="10">
        <v>120</v>
      </c>
      <c r="E5" s="10" t="s">
        <v>90</v>
      </c>
      <c r="F5" t="str">
        <f>RTD("gartle.rtd",,"YahooFinanceOptions",Table6[OptionSymbol],Table6[ExpDate],Table6[Strike],Table6[Type],"OptionCode")</f>
        <v>AAPL150117C00120000</v>
      </c>
      <c r="G5" t="str">
        <f>RTD("gartle.rtd",,"YahooFinanceOptions",Table6[OptionSymbol],Table6[ExpDate],Table6[Strike],Table6[Type],"Symbol")</f>
        <v>AAPL</v>
      </c>
      <c r="H5" s="4">
        <f>RTD("gartle.rtd",,"YahooFinanceOptions",Table6[OptionSymbol],Table6[ExpDate],Table6[Strike],Table6[Type],"Last")</f>
        <v>0.56000000000000005</v>
      </c>
      <c r="I5" s="6">
        <f>RTD("gartle.rtd",,"YahooFinanceOptions",Table6[OptionSymbol],Table6[ExpDate],Table6[Strike],Table6[Type],"Change")</f>
        <v>0.02</v>
      </c>
      <c r="J5" s="7">
        <f>RTD("gartle.rtd",,"YahooFinanceOptions",Table6[OptionSymbol],Table6[ExpDate],Table6[Strike],Table6[Type],"ChangeInPercent")</f>
        <v>3.7037037037037035E-2</v>
      </c>
      <c r="K5" s="4">
        <f>RTD("gartle.rtd",,"YahooFinanceOptions",Table6[OptionSymbol],Table6[ExpDate],Table6[Strike],Table6[Type],"Mark")</f>
        <v>0.56499999999999995</v>
      </c>
      <c r="L5" s="4">
        <f>RTD("gartle.rtd",,"YahooFinanceOptions",Table6[OptionSymbol],Table6[ExpDate],Table6[Strike],Table6[Type],"Bid")</f>
        <v>0.56000000000000005</v>
      </c>
      <c r="M5" s="4">
        <f>RTD("gartle.rtd",,"YahooFinanceOptions",Table6[OptionSymbol],Table6[ExpDate],Table6[Strike],Table6[Type],"Ask")</f>
        <v>0.56999999999999995</v>
      </c>
      <c r="N5" s="8">
        <f>RTD("gartle.rtd",,"YahooFinanceOptions",Table6[OptionSymbol],Table6[ExpDate],Table6[Strike],Table6[Type],"Volume")</f>
        <v>1588</v>
      </c>
      <c r="O5" s="8">
        <f>RTD("gartle.rtd",,"YahooFinanceOptions",Table6[OptionSymbol],Table6[ExpDate],Table6[Strike],Table6[Type],"OpenInt")</f>
        <v>36923</v>
      </c>
      <c r="P5">
        <f>RTD("gartle.rtd",,"YahooFinanceOptions",Table6[OptionSymbol],Table6[ExpDate],Table6[Strike],Table6[Type],"rtd_LastError")</f>
        <v>0</v>
      </c>
      <c r="Q5" t="str">
        <f>RTD("gartle.rtd",,"YahooFinanceOptions",Table6[OptionSymbol],Table6[ExpDate],Table6[Strike],Table6[Type],"rtd_LastMessage")</f>
        <v/>
      </c>
      <c r="R5" s="9">
        <f>RTD("gartle.rtd",,"YahooFinanceOptions",Table6[OptionSymbol],Table6[ExpDate],Table6[Strike],Table6[Type],"rtd_LastUpdate")</f>
        <v>41943.656792893518</v>
      </c>
      <c r="S5" s="2">
        <f>RTD("gartle.rtd",,"YahooFinanceOptions",Table6[OptionSymbol],Table6[ExpDate],Table6[Strike],Table6[Type],"rtd_LastUpdateDate")</f>
        <v>41943</v>
      </c>
      <c r="T5" s="3">
        <f>RTD("gartle.rtd",,"YahooFinanceOptions",Table6[OptionSymbol],Table6[ExpDate],Table6[Strike],Table6[Type],"rtd_LastUpdateTime")</f>
        <v>0.65679289351851855</v>
      </c>
    </row>
    <row r="6" spans="2:20" x14ac:dyDescent="0.25">
      <c r="B6" s="10" t="s">
        <v>54</v>
      </c>
      <c r="C6" s="11">
        <v>42384</v>
      </c>
      <c r="D6" s="10">
        <v>100</v>
      </c>
      <c r="E6" s="10" t="s">
        <v>90</v>
      </c>
      <c r="F6" t="str">
        <f>RTD("gartle.rtd",,"YahooFinanceOptions",Table6[OptionSymbol],Table6[ExpDate],Table6[Strike],Table6[Type],"OptionCode")</f>
        <v>AAPL160115C00100000</v>
      </c>
      <c r="G6" t="str">
        <f>RTD("gartle.rtd",,"YahooFinanceOptions",Table6[OptionSymbol],Table6[ExpDate],Table6[Strike],Table6[Type],"Symbol")</f>
        <v>AAPL</v>
      </c>
      <c r="H6" s="4">
        <f>RTD("gartle.rtd",,"YahooFinanceOptions",Table6[OptionSymbol],Table6[ExpDate],Table6[Strike],Table6[Type],"Last")</f>
        <v>15.86</v>
      </c>
      <c r="I6" s="6">
        <f>RTD("gartle.rtd",,"YahooFinanceOptions",Table6[OptionSymbol],Table6[ExpDate],Table6[Strike],Table6[Type],"Change")</f>
        <v>0.36</v>
      </c>
      <c r="J6" s="7">
        <f>RTD("gartle.rtd",,"YahooFinanceOptions",Table6[OptionSymbol],Table6[ExpDate],Table6[Strike],Table6[Type],"ChangeInPercent")</f>
        <v>2.3225806451612901E-2</v>
      </c>
      <c r="K6" s="4">
        <f>RTD("gartle.rtd",,"YahooFinanceOptions",Table6[OptionSymbol],Table6[ExpDate],Table6[Strike],Table6[Type],"Mark")</f>
        <v>15.85</v>
      </c>
      <c r="L6" s="4">
        <f>RTD("gartle.rtd",,"YahooFinanceOptions",Table6[OptionSymbol],Table6[ExpDate],Table6[Strike],Table6[Type],"Bid")</f>
        <v>15.75</v>
      </c>
      <c r="M6" s="4">
        <f>RTD("gartle.rtd",,"YahooFinanceOptions",Table6[OptionSymbol],Table6[ExpDate],Table6[Strike],Table6[Type],"Ask")</f>
        <v>15.95</v>
      </c>
      <c r="N6" s="8">
        <f>RTD("gartle.rtd",,"YahooFinanceOptions",Table6[OptionSymbol],Table6[ExpDate],Table6[Strike],Table6[Type],"Volume")</f>
        <v>849</v>
      </c>
      <c r="O6" s="8">
        <f>RTD("gartle.rtd",,"YahooFinanceOptions",Table6[OptionSymbol],Table6[ExpDate],Table6[Strike],Table6[Type],"OpenInt")</f>
        <v>108278</v>
      </c>
      <c r="P6">
        <f>RTD("gartle.rtd",,"YahooFinanceOptions",Table6[OptionSymbol],Table6[ExpDate],Table6[Strike],Table6[Type],"rtd_LastError")</f>
        <v>0</v>
      </c>
      <c r="Q6" t="str">
        <f>RTD("gartle.rtd",,"YahooFinanceOptions",Table6[OptionSymbol],Table6[ExpDate],Table6[Strike],Table6[Type],"rtd_LastMessage")</f>
        <v/>
      </c>
      <c r="R6" s="9">
        <f>RTD("gartle.rtd",,"YahooFinanceOptions",Table6[OptionSymbol],Table6[ExpDate],Table6[Strike],Table6[Type],"rtd_LastUpdate")</f>
        <v>41943.656712719909</v>
      </c>
      <c r="S6" s="2">
        <f>RTD("gartle.rtd",,"YahooFinanceOptions",Table6[OptionSymbol],Table6[ExpDate],Table6[Strike],Table6[Type],"rtd_LastUpdateDate")</f>
        <v>41943</v>
      </c>
      <c r="T6" s="3">
        <f>RTD("gartle.rtd",,"YahooFinanceOptions",Table6[OptionSymbol],Table6[ExpDate],Table6[Strike],Table6[Type],"rtd_LastUpdateTime")</f>
        <v>0.65671271990740743</v>
      </c>
    </row>
    <row r="7" spans="2:20" x14ac:dyDescent="0.25">
      <c r="B7" s="10" t="s">
        <v>54</v>
      </c>
      <c r="C7" s="11">
        <v>42384</v>
      </c>
      <c r="D7" s="10">
        <v>120</v>
      </c>
      <c r="E7" s="10" t="s">
        <v>90</v>
      </c>
      <c r="F7" t="str">
        <f>RTD("gartle.rtd",,"YahooFinanceOptions",Table6[OptionSymbol],Table6[ExpDate],Table6[Strike],Table6[Type],"OptionCode")</f>
        <v>AAPL160115C00120000</v>
      </c>
      <c r="G7" t="str">
        <f>RTD("gartle.rtd",,"YahooFinanceOptions",Table6[OptionSymbol],Table6[ExpDate],Table6[Strike],Table6[Type],"Symbol")</f>
        <v>AAPL</v>
      </c>
      <c r="H7" s="4">
        <f>RTD("gartle.rtd",,"YahooFinanceOptions",Table6[OptionSymbol],Table6[ExpDate],Table6[Strike],Table6[Type],"Last")</f>
        <v>7.51</v>
      </c>
      <c r="I7" s="6">
        <f>RTD("gartle.rtd",,"YahooFinanceOptions",Table6[OptionSymbol],Table6[ExpDate],Table6[Strike],Table6[Type],"Change")</f>
        <v>0.31</v>
      </c>
      <c r="J7" s="7">
        <f>RTD("gartle.rtd",,"YahooFinanceOptions",Table6[OptionSymbol],Table6[ExpDate],Table6[Strike],Table6[Type],"ChangeInPercent")</f>
        <v>4.3055555555555555E-2</v>
      </c>
      <c r="K7" s="4">
        <f>RTD("gartle.rtd",,"YahooFinanceOptions",Table6[OptionSymbol],Table6[ExpDate],Table6[Strike],Table6[Type],"Mark")</f>
        <v>7.5</v>
      </c>
      <c r="L7" s="4">
        <f>RTD("gartle.rtd",,"YahooFinanceOptions",Table6[OptionSymbol],Table6[ExpDate],Table6[Strike],Table6[Type],"Bid")</f>
        <v>7.45</v>
      </c>
      <c r="M7" s="4">
        <f>RTD("gartle.rtd",,"YahooFinanceOptions",Table6[OptionSymbol],Table6[ExpDate],Table6[Strike],Table6[Type],"Ask")</f>
        <v>7.55</v>
      </c>
      <c r="N7" s="8">
        <f>RTD("gartle.rtd",,"YahooFinanceOptions",Table6[OptionSymbol],Table6[ExpDate],Table6[Strike],Table6[Type],"Volume")</f>
        <v>1348</v>
      </c>
      <c r="O7" s="8">
        <f>RTD("gartle.rtd",,"YahooFinanceOptions",Table6[OptionSymbol],Table6[ExpDate],Table6[Strike],Table6[Type],"OpenInt")</f>
        <v>25746</v>
      </c>
      <c r="P7">
        <f>RTD("gartle.rtd",,"YahooFinanceOptions",Table6[OptionSymbol],Table6[ExpDate],Table6[Strike],Table6[Type],"rtd_LastError")</f>
        <v>0</v>
      </c>
      <c r="Q7" t="str">
        <f>RTD("gartle.rtd",,"YahooFinanceOptions",Table6[OptionSymbol],Table6[ExpDate],Table6[Strike],Table6[Type],"rtd_LastMessage")</f>
        <v/>
      </c>
      <c r="R7" s="9">
        <f>RTD("gartle.rtd",,"YahooFinanceOptions",Table6[OptionSymbol],Table6[ExpDate],Table6[Strike],Table6[Type],"rtd_LastUpdate")</f>
        <v>41943.656712719909</v>
      </c>
      <c r="S7" s="2">
        <f>RTD("gartle.rtd",,"YahooFinanceOptions",Table6[OptionSymbol],Table6[ExpDate],Table6[Strike],Table6[Type],"rtd_LastUpdateDate")</f>
        <v>41943</v>
      </c>
      <c r="T7" s="3">
        <f>RTD("gartle.rtd",,"YahooFinanceOptions",Table6[OptionSymbol],Table6[ExpDate],Table6[Strike],Table6[Type],"rtd_LastUpdateTime")</f>
        <v>0.65671271990740743</v>
      </c>
    </row>
  </sheetData>
  <conditionalFormatting sqref="J4:J7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:N7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4:O7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8"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3:G7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7.5703125" bestFit="1" customWidth="1"/>
    <col min="3" max="4" width="6.85546875" customWidth="1"/>
    <col min="5" max="6" width="8.42578125" bestFit="1" customWidth="1"/>
    <col min="7" max="7" width="8.85546875" bestFit="1" customWidth="1"/>
  </cols>
  <sheetData>
    <row r="3" spans="2:7" x14ac:dyDescent="0.25">
      <c r="B3" t="s">
        <v>0</v>
      </c>
      <c r="C3" t="s">
        <v>77</v>
      </c>
      <c r="D3" t="s">
        <v>78</v>
      </c>
      <c r="E3" s="17" t="s">
        <v>91</v>
      </c>
      <c r="F3" s="17" t="s">
        <v>92</v>
      </c>
      <c r="G3" s="17" t="s">
        <v>93</v>
      </c>
    </row>
    <row r="4" spans="2:7" x14ac:dyDescent="0.25">
      <c r="B4" s="10" t="s">
        <v>54</v>
      </c>
      <c r="C4" s="10">
        <v>100</v>
      </c>
      <c r="D4" s="10" t="s">
        <v>90</v>
      </c>
      <c r="E4" s="4">
        <f>RTD("gartle.rtd",,"YahooFinanceOptions",$B4,E$3,$C4,$D4,"Mark")</f>
        <v>8.75</v>
      </c>
      <c r="F4" s="4">
        <f>RTD("gartle.rtd",,"YahooFinanceOptions",$B4,F$3,$C4,$D4,"Mark")</f>
        <v>15.85</v>
      </c>
      <c r="G4" s="4">
        <f>Table7[[#This Row],[Jan15''16]]-Table7[[#This Row],[Jan17,15]]</f>
        <v>7.1</v>
      </c>
    </row>
    <row r="5" spans="2:7" x14ac:dyDescent="0.25">
      <c r="B5" s="10" t="s">
        <v>54</v>
      </c>
      <c r="C5" s="10">
        <v>120</v>
      </c>
      <c r="D5" s="10" t="s">
        <v>90</v>
      </c>
      <c r="E5" s="4">
        <f>RTD("gartle.rtd",,"YahooFinanceOptions",$B5,E$3,$C5,$D5,"Mark")</f>
        <v>0.56499999999999995</v>
      </c>
      <c r="F5" s="4">
        <f>RTD("gartle.rtd",,"YahooFinanceOptions",$B5,F$3,$C5,$D5,"Mark")</f>
        <v>7.5</v>
      </c>
      <c r="G5" s="4">
        <f>Table7[[#This Row],[Jan15''16]]-Table7[[#This Row],[Jan17,15]]</f>
        <v>6.9350000000000005</v>
      </c>
    </row>
    <row r="6" spans="2:7" x14ac:dyDescent="0.25">
      <c r="B6" s="10" t="s">
        <v>54</v>
      </c>
      <c r="C6" s="10">
        <v>100</v>
      </c>
      <c r="D6" s="10" t="s">
        <v>94</v>
      </c>
      <c r="E6" s="4">
        <f>RTD("gartle.rtd",,"YahooFinanceOptions",$B6,E$3,$C6,$D6,"Mark")</f>
        <v>1.375</v>
      </c>
      <c r="F6" s="4">
        <f>RTD("gartle.rtd",,"YahooFinanceOptions",$B6,F$3,$C6,$D6,"Mark")</f>
        <v>9.6</v>
      </c>
      <c r="G6" s="4">
        <f>Table7[[#This Row],[Jan15''16]]-Table7[[#This Row],[Jan17,15]]</f>
        <v>8.2249999999999996</v>
      </c>
    </row>
    <row r="7" spans="2:7" x14ac:dyDescent="0.25">
      <c r="B7" s="10" t="s">
        <v>54</v>
      </c>
      <c r="C7" s="10">
        <v>120</v>
      </c>
      <c r="D7" s="10" t="s">
        <v>94</v>
      </c>
      <c r="E7" s="4">
        <f>RTD("gartle.rtd",,"YahooFinanceOptions",$B7,E$3,$C7,$D7,"Mark")</f>
        <v>13.225000000000001</v>
      </c>
      <c r="F7" s="4">
        <f>RTD("gartle.rtd",,"YahooFinanceOptions",$B7,F$3,$C7,$D7,"Mark")</f>
        <v>21.225000000000001</v>
      </c>
      <c r="G7" s="4">
        <f>Table7[[#This Row],[Jan15''16]]-Table7[[#This Row],[Jan17,15]]</f>
        <v>8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Readme</vt:lpstr>
      <vt:lpstr>WatchList</vt:lpstr>
      <vt:lpstr>Quotes</vt:lpstr>
      <vt:lpstr>HistoricalData</vt:lpstr>
      <vt:lpstr>Stocks</vt:lpstr>
      <vt:lpstr>OptionsByCode</vt:lpstr>
      <vt:lpstr>OptionsByContract</vt:lpstr>
      <vt:lpstr>CalendarModel</vt:lpstr>
      <vt:lpstr>Readme!Print_Area</vt:lpstr>
    </vt:vector>
  </TitlesOfParts>
  <Company>Gartle Technology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James Jet</cp:lastModifiedBy>
  <cp:lastPrinted>2014-02-21T01:12:40Z</cp:lastPrinted>
  <dcterms:created xsi:type="dcterms:W3CDTF">2014-02-20T20:39:00Z</dcterms:created>
  <dcterms:modified xsi:type="dcterms:W3CDTF">2014-10-31T19:52:25Z</dcterms:modified>
</cp:coreProperties>
</file>